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0730" windowHeight="11760" activeTab="1"/>
  </bookViews>
  <sheets>
    <sheet name="Planilha1" sheetId="2" r:id="rId1"/>
    <sheet name="Planilha Orçamentária BDMG" sheetId="1" r:id="rId2"/>
    <sheet name="MEMORIAL DE CÁLCULO" sheetId="3" r:id="rId3"/>
    <sheet name="FISICO FINANCEIRO" sheetId="4" r:id="rId4"/>
  </sheets>
  <definedNames>
    <definedName name="_xlnm.Print_Area" localSheetId="2">'MEMORIAL DE CÁLCULO'!$A$1:$AI$152</definedName>
    <definedName name="_xlnm.Print_Area" localSheetId="1">'Planilha Orçamentária BDMG'!$A$1:$I$51</definedName>
    <definedName name="_xlnm.Print_Area" localSheetId="0">Planilha1!$A$1:$U$26</definedName>
    <definedName name="_xlnm.Print_Titles" localSheetId="1">'Planilha Orçamentária BDMG'!$13:$15</definedName>
  </definedName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4"/>
  <c r="E13"/>
  <c r="E14"/>
  <c r="E15"/>
  <c r="E16"/>
  <c r="E28"/>
  <c r="C28"/>
  <c r="F28"/>
  <c r="G13"/>
  <c r="G14"/>
  <c r="G15"/>
  <c r="G16"/>
  <c r="G28"/>
  <c r="H28"/>
  <c r="I13"/>
  <c r="I14"/>
  <c r="I15"/>
  <c r="I16"/>
  <c r="I28"/>
  <c r="J28"/>
  <c r="K13"/>
  <c r="K14"/>
  <c r="K15"/>
  <c r="K16"/>
  <c r="K28"/>
  <c r="L28"/>
  <c r="N31"/>
  <c r="M15"/>
  <c r="M31"/>
  <c r="F26"/>
  <c r="H26"/>
  <c r="J26"/>
  <c r="L26"/>
  <c r="N29"/>
  <c r="M29"/>
  <c r="F29"/>
  <c r="H29"/>
  <c r="J29"/>
  <c r="L29"/>
  <c r="E29"/>
  <c r="G29"/>
  <c r="I29"/>
  <c r="K29"/>
  <c r="C29"/>
  <c r="D29"/>
  <c r="F25"/>
  <c r="H25"/>
  <c r="J25"/>
  <c r="L25"/>
  <c r="N28"/>
  <c r="M28"/>
  <c r="D12"/>
  <c r="D13"/>
  <c r="D14"/>
  <c r="D15"/>
  <c r="D16"/>
  <c r="D28"/>
  <c r="F24"/>
  <c r="H24"/>
  <c r="J24"/>
  <c r="L24"/>
  <c r="N27"/>
  <c r="M27"/>
  <c r="F23"/>
  <c r="H23"/>
  <c r="J23"/>
  <c r="L23"/>
  <c r="N26"/>
  <c r="M26"/>
  <c r="F22"/>
  <c r="H22"/>
  <c r="J22"/>
  <c r="L22"/>
  <c r="N25"/>
  <c r="M25"/>
  <c r="F21"/>
  <c r="H21"/>
  <c r="J21"/>
  <c r="L21"/>
  <c r="N24"/>
  <c r="M24"/>
  <c r="F20"/>
  <c r="H20"/>
  <c r="J20"/>
  <c r="L20"/>
  <c r="N23"/>
  <c r="M23"/>
  <c r="F19"/>
  <c r="H19"/>
  <c r="J19"/>
  <c r="L19"/>
  <c r="N22"/>
  <c r="M22"/>
  <c r="F18"/>
  <c r="H18"/>
  <c r="J18"/>
  <c r="L18"/>
  <c r="N21"/>
  <c r="M21"/>
  <c r="F17"/>
  <c r="H17"/>
  <c r="J17"/>
  <c r="L17"/>
  <c r="N20"/>
  <c r="M20"/>
  <c r="N19"/>
  <c r="M19"/>
  <c r="N18"/>
  <c r="M18"/>
  <c r="N17"/>
  <c r="M17"/>
  <c r="N16"/>
  <c r="M16"/>
  <c r="H12"/>
  <c r="J12"/>
  <c r="L12"/>
  <c r="N15"/>
  <c r="G10"/>
  <c r="I10"/>
  <c r="K10"/>
  <c r="C50" i="1"/>
  <c r="C49"/>
  <c r="Q79" i="3"/>
  <c r="Q78"/>
  <c r="Q122"/>
  <c r="Q123"/>
  <c r="Q100"/>
  <c r="Q101"/>
  <c r="Q89"/>
  <c r="Q90"/>
  <c r="Q67"/>
  <c r="Q68"/>
  <c r="Q56"/>
  <c r="Q57"/>
  <c r="L8" i="2"/>
  <c r="Q45" i="3"/>
  <c r="Q46"/>
  <c r="Q34"/>
  <c r="Q35"/>
  <c r="Q23"/>
  <c r="Q24"/>
  <c r="Q118"/>
  <c r="Q119"/>
  <c r="R10" i="2"/>
  <c r="Q74" i="3"/>
  <c r="Q75"/>
  <c r="Q63"/>
  <c r="Q64"/>
  <c r="Q52"/>
  <c r="Q53"/>
  <c r="Q41"/>
  <c r="Q42"/>
  <c r="Q138"/>
  <c r="Q127"/>
  <c r="Q116"/>
  <c r="Q93"/>
  <c r="Q137"/>
  <c r="Q126"/>
  <c r="Q115"/>
  <c r="Q72"/>
  <c r="Q105"/>
  <c r="Q104"/>
  <c r="Q94"/>
  <c r="Q83"/>
  <c r="Q82"/>
  <c r="Q71"/>
  <c r="Q61"/>
  <c r="Q60"/>
  <c r="Q50"/>
  <c r="Q49"/>
  <c r="Q39"/>
  <c r="Q38"/>
  <c r="Q28"/>
  <c r="Q27"/>
  <c r="Q17"/>
  <c r="Q143"/>
  <c r="Q141"/>
  <c r="Q140"/>
  <c r="Q136"/>
  <c r="T134"/>
  <c r="Q134"/>
  <c r="Q133"/>
  <c r="Q130"/>
  <c r="Q129"/>
  <c r="Q125"/>
  <c r="T123"/>
  <c r="O42"/>
  <c r="O53"/>
  <c r="O64"/>
  <c r="O75"/>
  <c r="O86"/>
  <c r="O97"/>
  <c r="O108"/>
  <c r="O119"/>
  <c r="O130"/>
  <c r="O141"/>
  <c r="O41"/>
  <c r="O52"/>
  <c r="O63"/>
  <c r="O74"/>
  <c r="O85"/>
  <c r="O96"/>
  <c r="O107"/>
  <c r="O118"/>
  <c r="O129"/>
  <c r="O140"/>
  <c r="O39"/>
  <c r="O50"/>
  <c r="O61"/>
  <c r="O72"/>
  <c r="O83"/>
  <c r="O94"/>
  <c r="O105"/>
  <c r="O116"/>
  <c r="O127"/>
  <c r="O138"/>
  <c r="O38"/>
  <c r="O49"/>
  <c r="O60"/>
  <c r="O71"/>
  <c r="O82"/>
  <c r="O93"/>
  <c r="O104"/>
  <c r="O115"/>
  <c r="O126"/>
  <c r="O137"/>
  <c r="O37"/>
  <c r="O48"/>
  <c r="O59"/>
  <c r="O70"/>
  <c r="O81"/>
  <c r="O92"/>
  <c r="O103"/>
  <c r="O114"/>
  <c r="O125"/>
  <c r="O136"/>
  <c r="O35"/>
  <c r="O46"/>
  <c r="O57"/>
  <c r="O68"/>
  <c r="O79"/>
  <c r="O90"/>
  <c r="O101"/>
  <c r="O112"/>
  <c r="O123"/>
  <c r="O134"/>
  <c r="O34"/>
  <c r="O45"/>
  <c r="O56"/>
  <c r="O67"/>
  <c r="O78"/>
  <c r="O89"/>
  <c r="O100"/>
  <c r="O111"/>
  <c r="O122"/>
  <c r="O133"/>
  <c r="A109"/>
  <c r="B20"/>
  <c r="B31"/>
  <c r="B42"/>
  <c r="B53"/>
  <c r="B64"/>
  <c r="B75"/>
  <c r="B86"/>
  <c r="B97"/>
  <c r="B108"/>
  <c r="B119"/>
  <c r="B130"/>
  <c r="B19"/>
  <c r="B30"/>
  <c r="B41"/>
  <c r="B52"/>
  <c r="B63"/>
  <c r="B74"/>
  <c r="B85"/>
  <c r="B96"/>
  <c r="B107"/>
  <c r="B118"/>
  <c r="B129"/>
  <c r="B18"/>
  <c r="B29"/>
  <c r="B40"/>
  <c r="B51"/>
  <c r="B62"/>
  <c r="B73"/>
  <c r="B84"/>
  <c r="B95"/>
  <c r="B106"/>
  <c r="B117"/>
  <c r="B128"/>
  <c r="B17"/>
  <c r="B28"/>
  <c r="B39"/>
  <c r="B50"/>
  <c r="B61"/>
  <c r="B72"/>
  <c r="B83"/>
  <c r="B94"/>
  <c r="B105"/>
  <c r="B116"/>
  <c r="B127"/>
  <c r="B16"/>
  <c r="B27"/>
  <c r="B38"/>
  <c r="B49"/>
  <c r="B60"/>
  <c r="B71"/>
  <c r="B82"/>
  <c r="B93"/>
  <c r="B104"/>
  <c r="B115"/>
  <c r="B126"/>
  <c r="B15"/>
  <c r="B26"/>
  <c r="B37"/>
  <c r="B48"/>
  <c r="B59"/>
  <c r="B70"/>
  <c r="B81"/>
  <c r="B92"/>
  <c r="B103"/>
  <c r="B114"/>
  <c r="B125"/>
  <c r="B14"/>
  <c r="B25"/>
  <c r="B36"/>
  <c r="B47"/>
  <c r="B58"/>
  <c r="B69"/>
  <c r="B80"/>
  <c r="B91"/>
  <c r="B102"/>
  <c r="B113"/>
  <c r="B124"/>
  <c r="B13"/>
  <c r="B24"/>
  <c r="B35"/>
  <c r="B46"/>
  <c r="B57"/>
  <c r="B68"/>
  <c r="B79"/>
  <c r="B90"/>
  <c r="B101"/>
  <c r="B112"/>
  <c r="B123"/>
  <c r="B12"/>
  <c r="B23"/>
  <c r="B34"/>
  <c r="B45"/>
  <c r="B56"/>
  <c r="B67"/>
  <c r="B78"/>
  <c r="B89"/>
  <c r="B100"/>
  <c r="B111"/>
  <c r="B122"/>
  <c r="B11"/>
  <c r="B22"/>
  <c r="B33"/>
  <c r="B44"/>
  <c r="B55"/>
  <c r="B66"/>
  <c r="B77"/>
  <c r="B88"/>
  <c r="B99"/>
  <c r="B110"/>
  <c r="B121"/>
  <c r="T119"/>
  <c r="Q114"/>
  <c r="T112"/>
  <c r="Q112"/>
  <c r="Q111"/>
  <c r="Q107"/>
  <c r="Q108"/>
  <c r="T108"/>
  <c r="Q103"/>
  <c r="T101"/>
  <c r="Q96"/>
  <c r="Q97"/>
  <c r="T97"/>
  <c r="Q92"/>
  <c r="T90"/>
  <c r="Q86"/>
  <c r="Q85"/>
  <c r="T86"/>
  <c r="Q81"/>
  <c r="T79"/>
  <c r="T75"/>
  <c r="Q70"/>
  <c r="T68"/>
  <c r="T35"/>
  <c r="T64"/>
  <c r="Q59"/>
  <c r="T57"/>
  <c r="T53"/>
  <c r="Q48"/>
  <c r="T46"/>
  <c r="T42"/>
  <c r="Q37"/>
  <c r="L22" i="1"/>
  <c r="Q31" i="3"/>
  <c r="Q30"/>
  <c r="Q26"/>
  <c r="T24"/>
  <c r="B144"/>
  <c r="B145"/>
  <c r="B146"/>
  <c r="B143"/>
  <c r="B142"/>
  <c r="Q20"/>
  <c r="Q19"/>
  <c r="Q16"/>
  <c r="Q15"/>
  <c r="Q13"/>
  <c r="Q12"/>
  <c r="L20" i="1"/>
  <c r="E20"/>
  <c r="B8" i="3"/>
  <c r="B9"/>
  <c r="O9"/>
  <c r="A10"/>
  <c r="A21"/>
  <c r="A32"/>
  <c r="A43"/>
  <c r="A54"/>
  <c r="A65"/>
  <c r="A76"/>
  <c r="A87"/>
  <c r="A98"/>
  <c r="A120"/>
  <c r="A131"/>
  <c r="B132"/>
  <c r="B133"/>
  <c r="B134"/>
  <c r="B135"/>
  <c r="B136"/>
  <c r="B137"/>
  <c r="B138"/>
  <c r="B139"/>
  <c r="B140"/>
  <c r="B141"/>
  <c r="T7" i="2"/>
  <c r="R15"/>
  <c r="R14"/>
  <c r="R13"/>
  <c r="R7"/>
  <c r="T16"/>
  <c r="T15"/>
  <c r="T14"/>
  <c r="T13"/>
  <c r="T12"/>
  <c r="T11"/>
  <c r="T10"/>
  <c r="T9"/>
  <c r="T8"/>
  <c r="U8"/>
  <c r="R16"/>
  <c r="R12"/>
  <c r="L26" i="1"/>
  <c r="L29"/>
  <c r="E29"/>
  <c r="L24"/>
  <c r="L23"/>
  <c r="E30"/>
  <c r="E31"/>
  <c r="E32"/>
  <c r="E22"/>
  <c r="L27"/>
  <c r="M10" i="2"/>
  <c r="M7"/>
  <c r="L19" i="1"/>
  <c r="J16" i="2"/>
  <c r="I16"/>
  <c r="G16"/>
  <c r="H16"/>
  <c r="K16"/>
  <c r="L16"/>
  <c r="E15"/>
  <c r="H15"/>
  <c r="G15"/>
  <c r="I15"/>
  <c r="J15"/>
  <c r="K15"/>
  <c r="L15"/>
  <c r="M15"/>
  <c r="P15"/>
  <c r="Q15"/>
  <c r="P16"/>
  <c r="Q16"/>
  <c r="L10"/>
  <c r="L7"/>
  <c r="L6"/>
  <c r="E19" i="1"/>
  <c r="J13" i="2"/>
  <c r="J14"/>
  <c r="E14"/>
  <c r="E13"/>
  <c r="M9"/>
  <c r="E6"/>
  <c r="E7"/>
  <c r="E8"/>
  <c r="E9"/>
  <c r="E10"/>
  <c r="E11"/>
  <c r="E12"/>
  <c r="E5"/>
  <c r="H5"/>
  <c r="M8"/>
  <c r="U5"/>
  <c r="G5"/>
  <c r="I5"/>
  <c r="J5"/>
  <c r="K5"/>
  <c r="L5"/>
  <c r="P5"/>
  <c r="Q5"/>
  <c r="T5"/>
  <c r="E27" i="1"/>
  <c r="E26"/>
  <c r="E24"/>
  <c r="E23"/>
  <c r="E17"/>
  <c r="G9" i="2"/>
  <c r="H9"/>
  <c r="I9"/>
  <c r="J9"/>
  <c r="K9"/>
  <c r="L9"/>
  <c r="G10"/>
  <c r="H10"/>
  <c r="I10"/>
  <c r="J10"/>
  <c r="K10"/>
  <c r="G11"/>
  <c r="H11"/>
  <c r="I11"/>
  <c r="J11"/>
  <c r="K11"/>
  <c r="L11"/>
  <c r="P9"/>
  <c r="Q9"/>
  <c r="P11"/>
  <c r="Q11"/>
  <c r="R9"/>
  <c r="R11"/>
  <c r="U11"/>
  <c r="G12"/>
  <c r="H12"/>
  <c r="I12"/>
  <c r="J12"/>
  <c r="K12"/>
  <c r="L12"/>
  <c r="P12"/>
  <c r="Q12"/>
  <c r="U12"/>
  <c r="P13"/>
  <c r="Q13"/>
  <c r="U14"/>
  <c r="P14"/>
  <c r="Q14"/>
  <c r="L13"/>
  <c r="L14"/>
  <c r="K13"/>
  <c r="K14"/>
  <c r="I13"/>
  <c r="I14"/>
  <c r="H13"/>
  <c r="H14"/>
  <c r="G13"/>
  <c r="G14"/>
  <c r="H22" i="1"/>
  <c r="I22"/>
  <c r="H23"/>
  <c r="I23"/>
  <c r="G22"/>
  <c r="G23"/>
  <c r="P10" i="2"/>
  <c r="Q10"/>
  <c r="C18"/>
  <c r="R8"/>
  <c r="P8"/>
  <c r="Q8"/>
  <c r="K8"/>
  <c r="J8"/>
  <c r="I8"/>
  <c r="H8"/>
  <c r="G8"/>
  <c r="P7"/>
  <c r="Q7"/>
  <c r="K7"/>
  <c r="J7"/>
  <c r="I7"/>
  <c r="H7"/>
  <c r="G7"/>
  <c r="U6"/>
  <c r="R6"/>
  <c r="T6"/>
  <c r="P6"/>
  <c r="Q6"/>
  <c r="K6"/>
  <c r="J6"/>
  <c r="I6"/>
  <c r="H6"/>
  <c r="G6"/>
  <c r="M3"/>
  <c r="H19" i="1"/>
  <c r="I19"/>
  <c r="G19"/>
  <c r="L18" i="2"/>
  <c r="T18"/>
  <c r="M18"/>
  <c r="H18"/>
  <c r="P18"/>
  <c r="P19"/>
  <c r="Q18"/>
  <c r="R18"/>
  <c r="H17" i="1"/>
  <c r="I17"/>
  <c r="I16"/>
  <c r="H20"/>
  <c r="I20"/>
  <c r="I18"/>
  <c r="H24"/>
  <c r="I24"/>
  <c r="I21"/>
  <c r="H26"/>
  <c r="I26"/>
  <c r="H27"/>
  <c r="I27"/>
  <c r="H29"/>
  <c r="I29"/>
  <c r="H30"/>
  <c r="I30"/>
  <c r="H31"/>
  <c r="I31"/>
  <c r="H32"/>
  <c r="I32"/>
  <c r="I25"/>
  <c r="I28"/>
  <c r="G17"/>
  <c r="G20"/>
  <c r="G24"/>
  <c r="G26"/>
  <c r="G27"/>
  <c r="G29"/>
  <c r="G30"/>
  <c r="G31"/>
  <c r="G32"/>
  <c r="I34"/>
  <c r="L34"/>
  <c r="G34"/>
</calcChain>
</file>

<file path=xl/sharedStrings.xml><?xml version="1.0" encoding="utf-8"?>
<sst xmlns="http://schemas.openxmlformats.org/spreadsheetml/2006/main" count="450" uniqueCount="256">
  <si>
    <t>Item</t>
  </si>
  <si>
    <t>Unid.</t>
  </si>
  <si>
    <t>TOTAL</t>
  </si>
  <si>
    <t>-</t>
  </si>
  <si>
    <t>Preço Unitário para cada item da planilha</t>
  </si>
  <si>
    <t>Unidade de medida de cada item</t>
  </si>
  <si>
    <t>Código</t>
  </si>
  <si>
    <t>Código do custo unitário conforme referência de preço empregada (SETOP, DNIT, SINAPI, DNIT, outras)</t>
  </si>
  <si>
    <t>Data:</t>
  </si>
  <si>
    <t>Data-base:</t>
  </si>
  <si>
    <t>mês/ano a que se referem os preços unitários</t>
  </si>
  <si>
    <t>data de elaboração do orçamento</t>
  </si>
  <si>
    <t>Descrição</t>
  </si>
  <si>
    <t>PLANILHA ORÇAMENTÁRIA</t>
  </si>
  <si>
    <t>Preço (R$)</t>
  </si>
  <si>
    <t>Sem BDI</t>
  </si>
  <si>
    <t>Com BDI</t>
  </si>
  <si>
    <t>Unitário</t>
  </si>
  <si>
    <t>Total</t>
  </si>
  <si>
    <t>Quantidade Prevista</t>
  </si>
  <si>
    <t>Data Base</t>
  </si>
  <si>
    <t>INFORMAÇÕES GERAIS</t>
  </si>
  <si>
    <t>BDI (%)</t>
  </si>
  <si>
    <t>REFERÊNCIA DE PREÇOS</t>
  </si>
  <si>
    <t>Assinatura do Responsável Técnico: ____________________________________________</t>
  </si>
  <si>
    <t xml:space="preserve"> SETOP (por região), DER-MG, SUDECAP, SINAPI, DNIT, COPASA, ou outra</t>
  </si>
  <si>
    <t>Codígo:</t>
  </si>
  <si>
    <t>Descrição:</t>
  </si>
  <si>
    <t>Nome do item de acordo com a planilha referência</t>
  </si>
  <si>
    <t>Planilha Referência</t>
  </si>
  <si>
    <t>Preço (R$) Sem BDI Unitário:</t>
  </si>
  <si>
    <t>OBSERVAÇÕES</t>
  </si>
  <si>
    <t>Somatória Grandes Itens:</t>
  </si>
  <si>
    <t>Efetuar a soma dos subitens que compõem cada grande item da planilha orçamentária</t>
  </si>
  <si>
    <t>S/ BDI</t>
  </si>
  <si>
    <t>C/ BDI</t>
  </si>
  <si>
    <t>Formulas Colunas G,H e I:</t>
  </si>
  <si>
    <t>Celulas automáticas, não sendo necessário alteração nas mesmas.</t>
  </si>
  <si>
    <t>Planilha de Referência:</t>
  </si>
  <si>
    <t>BDI (%):</t>
  </si>
  <si>
    <t>Valor total da composição do BDI em %.</t>
  </si>
  <si>
    <r>
      <t>Município:</t>
    </r>
    <r>
      <rPr>
        <sz val="11"/>
        <rFont val="Arial"/>
        <family val="2"/>
      </rPr>
      <t xml:space="preserve"> PREFEITURA MUNICIPAL DE NOVORIZONTE - MG</t>
    </r>
  </si>
  <si>
    <r>
      <t>Projeto:</t>
    </r>
    <r>
      <rPr>
        <sz val="11"/>
        <rFont val="Arial"/>
        <family val="2"/>
      </rPr>
      <t xml:space="preserve"> PAVIMENTAÇÃO DE VIAS URBANAS</t>
    </r>
  </si>
  <si>
    <t>SETOP_Norte</t>
  </si>
  <si>
    <t>SINAPI</t>
  </si>
  <si>
    <t>DNIT</t>
  </si>
  <si>
    <r>
      <t>Data:</t>
    </r>
    <r>
      <rPr>
        <sz val="11"/>
        <rFont val="Arial"/>
        <family val="2"/>
      </rPr>
      <t xml:space="preserve"> 19/01/2019</t>
    </r>
  </si>
  <si>
    <t>FORNECIMENTOECOLOCAÇÃODEPLACADEOBRAEMCHAPAGALVANIZADA(3,00X1,50M)-EMCHAPAGALVANIZADA0,26AFIXADASCOMREBITES540EPARAFUSOS3/8,EMESTRUTURAMETÁLICAVIGAU2"ENRIJECIDACOMMETALON20X20,SUPORTEEM EUCALIPTO AUTOCLAVADO PINTADAS</t>
  </si>
  <si>
    <t>1.1</t>
  </si>
  <si>
    <t>IIO-PLA-005</t>
  </si>
  <si>
    <t>INSTALAÇÕES INICIAIS DA OBRA</t>
  </si>
  <si>
    <t>PAVIMENTAÇÃO</t>
  </si>
  <si>
    <t>2.1</t>
  </si>
  <si>
    <t>OBR-VIA-215</t>
  </si>
  <si>
    <t>m²</t>
  </si>
  <si>
    <t>2.2</t>
  </si>
  <si>
    <t>REGULARIZAÇÃO DO SUB-LEITO (PROCTOR NORMAL)</t>
  </si>
  <si>
    <t>OBR-VIA-125</t>
  </si>
  <si>
    <t>CALÇADAS</t>
  </si>
  <si>
    <t>3.1</t>
  </si>
  <si>
    <t>3.2</t>
  </si>
  <si>
    <t>EXECUÇÃO DE PASSEIO (CALÇADA) COM CONCRETO MOLDADO IN LOCO FEITO EM OBRA, ACABAMENTO CONVENCIONAL, NÃO ARMADO</t>
  </si>
  <si>
    <t>MEIO FIO E SARJETA</t>
  </si>
  <si>
    <t>ASSENTAMENTO DE GUIA (MEIO-FIO) EM TRECHO RETO, CONFECCIONADA EM CONCRETOPRÉ-FABRICADO, DIMENSÕES 100X15X13X30 CM (COMPRIMENTO X BASE INFERIOR X BASE SUPERIOR X ALTURA), PARA VIAS URBANAS (USO VIÁRIO)</t>
  </si>
  <si>
    <t>m³</t>
  </si>
  <si>
    <t>m</t>
  </si>
  <si>
    <t>DATA:</t>
  </si>
  <si>
    <t>CALÇADA (espessura 7 cm)</t>
  </si>
  <si>
    <t>MEIO FIO</t>
  </si>
  <si>
    <t>Logadouro</t>
  </si>
  <si>
    <t>Comprim. (m)</t>
  </si>
  <si>
    <t>Larg. (m)</t>
  </si>
  <si>
    <t>Cálculo c/ sarjeta</t>
  </si>
  <si>
    <t>Área c/ sarjeta(m2)</t>
  </si>
  <si>
    <t>Cálculo s/ sarjeta</t>
  </si>
  <si>
    <t>Área s/ sarjeta(m2)</t>
  </si>
  <si>
    <t>Área (m2)</t>
  </si>
  <si>
    <t>Volume (m3)</t>
  </si>
  <si>
    <t>Cálculo sarjeta</t>
  </si>
  <si>
    <t>Cálculo Meio fio</t>
  </si>
  <si>
    <t>SEDE DO MUNICIPIO</t>
  </si>
  <si>
    <t>x</t>
  </si>
  <si>
    <t>1.2</t>
  </si>
  <si>
    <t>1.3</t>
  </si>
  <si>
    <t>Rua Florisvaldo de Almeida</t>
  </si>
  <si>
    <t>1.4</t>
  </si>
  <si>
    <t>Rua Manoel Ferreira</t>
  </si>
  <si>
    <t>1.5</t>
  </si>
  <si>
    <t>Rua José Ferreira Costa</t>
  </si>
  <si>
    <t>volume (m3)</t>
  </si>
  <si>
    <t>VINÍCIUS MODESTO COSTA MATOS</t>
  </si>
  <si>
    <t>Eng. Civil - CREA MG-219.180/D</t>
  </si>
  <si>
    <t>LADRILHO HIDRAULICO AMARELO 20X20 (DIRECIONAL)</t>
  </si>
  <si>
    <t>LADRILHO HIDRAULICO VERMELHO 20X20 (ALERTA)</t>
  </si>
  <si>
    <t>SINALIZAÇÃO</t>
  </si>
  <si>
    <t>73916/002</t>
  </si>
  <si>
    <t>PLACA ESMALTADA PARA IDENTIFICAÇÃO NR DE RUA, DIMENSÕES 45X25CM</t>
  </si>
  <si>
    <t>SINALIZACAO HORIZONTAL COM TINTA RETRORREFLETIVA A BASE DE RESINA ACRILICA COM MICROESFERAS DE VIDRO</t>
  </si>
  <si>
    <t>Fornecimento e implantação de suporte metálico galvanizado para placa de regulamentação - D = 0,60 m</t>
  </si>
  <si>
    <t>Fornecimento e implantação de placa em aço - película I + III</t>
  </si>
  <si>
    <t>3.3</t>
  </si>
  <si>
    <t>4.1</t>
  </si>
  <si>
    <t>4.2</t>
  </si>
  <si>
    <t>5.1</t>
  </si>
  <si>
    <t>5.2</t>
  </si>
  <si>
    <t>5.3</t>
  </si>
  <si>
    <t>5.4</t>
  </si>
  <si>
    <t>Rua josé de Almeida</t>
  </si>
  <si>
    <t>Rua Versiano de Almeida</t>
  </si>
  <si>
    <t>1.6</t>
  </si>
  <si>
    <t>1.7</t>
  </si>
  <si>
    <t>1.8</t>
  </si>
  <si>
    <t>1.9</t>
  </si>
  <si>
    <t>Rua Santo Almeida</t>
  </si>
  <si>
    <t>Rua Adão Rufino</t>
  </si>
  <si>
    <t>Rua Porfírio Souto de Almeida</t>
  </si>
  <si>
    <t>Rua Mendes Ramos</t>
  </si>
  <si>
    <t>1.10</t>
  </si>
  <si>
    <t>1.11</t>
  </si>
  <si>
    <t>Calculo</t>
  </si>
  <si>
    <t>140*2</t>
  </si>
  <si>
    <t>ITEM</t>
  </si>
  <si>
    <t>DESCRIÇÃO DOS SERVIÇOS</t>
  </si>
  <si>
    <t xml:space="preserve">UN </t>
  </si>
  <si>
    <t>QUANT</t>
  </si>
  <si>
    <t>MEMÓRIA DE CÁLCULO</t>
  </si>
  <si>
    <t>2.1.1</t>
  </si>
  <si>
    <t>2.2.1</t>
  </si>
  <si>
    <t>m3</t>
  </si>
  <si>
    <t>2.2.2</t>
  </si>
  <si>
    <t>2.2.3</t>
  </si>
  <si>
    <t>2.3</t>
  </si>
  <si>
    <t>2.3.1</t>
  </si>
  <si>
    <t>2.3.2</t>
  </si>
  <si>
    <t>100*2</t>
  </si>
  <si>
    <t>110*2</t>
  </si>
  <si>
    <t>Maria Ribeiro Silva trcho 1</t>
  </si>
  <si>
    <t>Maria Ribeiro Silva trcho 2</t>
  </si>
  <si>
    <t>90*2</t>
  </si>
  <si>
    <t>93*2</t>
  </si>
  <si>
    <t>Rua Agostinho Marques</t>
  </si>
  <si>
    <t>1.12</t>
  </si>
  <si>
    <t>PAVIMENTAÇÃO DE VIAS URBANAS</t>
  </si>
  <si>
    <t>meio fio (m)</t>
  </si>
  <si>
    <t>sarjeta  (m)</t>
  </si>
  <si>
    <t>SARJETA (m)</t>
  </si>
  <si>
    <t>(345*2)-(6*6)+(12*2)</t>
  </si>
  <si>
    <t>(342*2)-(7*6)+(2*5)</t>
  </si>
  <si>
    <t>107*2</t>
  </si>
  <si>
    <t>(232)*2-(4*7)+(13*6)</t>
  </si>
  <si>
    <t>(97*2)+(6*2)</t>
  </si>
  <si>
    <t>(342*2)-(6*7)+(2*5)</t>
  </si>
  <si>
    <t>86*2</t>
  </si>
  <si>
    <t>(232*2)-(4*7)</t>
  </si>
  <si>
    <t>97*2</t>
  </si>
  <si>
    <t>out. 2018</t>
  </si>
  <si>
    <t>jan. 2019</t>
  </si>
  <si>
    <t>set. 2018</t>
  </si>
  <si>
    <t>1*1</t>
  </si>
  <si>
    <t>3.4</t>
  </si>
  <si>
    <t>comprim. * larg. (100*6,4)</t>
  </si>
  <si>
    <t>comprim. * larg. * espessura (200 * 1,50 * 0,07)</t>
  </si>
  <si>
    <t>(comprim. - descontos) * largura ( 200 - 12)*0,20</t>
  </si>
  <si>
    <t>comprim. * quantidade (100*2)</t>
  </si>
  <si>
    <t>comprim. * larg. (140*6,0)</t>
  </si>
  <si>
    <t>comprim. * larg. * espessura (280 * 1,50 * 0,07)</t>
  </si>
  <si>
    <t>comprim. * quantidade (140*2)</t>
  </si>
  <si>
    <t>comprim. * larg. (110*6)</t>
  </si>
  <si>
    <t>comprim. - transversais * largura * espessura 684 - (7*6) * (1,5) * (0,07)</t>
  </si>
  <si>
    <t>comprim. * largura * espessura (220*1,5*0,07)</t>
  </si>
  <si>
    <t>comprim. * larg. ( 86*6)</t>
  </si>
  <si>
    <t>comprim. * larg. * espessura (172*1,5*0,07)</t>
  </si>
  <si>
    <t>comprim. * qunatidade ( 86*2)</t>
  </si>
  <si>
    <t>comprim. * larg. (342*6)+ entrada das transversais (5*2*6)</t>
  </si>
  <si>
    <t>comprim. * larg. (345*6,40) + entrada das tranversais (6*6*2)</t>
  </si>
  <si>
    <t>30 CM BASE X 10 CM ALTURA EXECUÇÃO DE SARJETA DE CONCRETO USINADO, MOLDADA IN LOCO EM TRECHO RETO</t>
  </si>
  <si>
    <t>comprim. - entrada das transversais * larg * espessura (345*2) - (6*6) *1,5 * 0,07</t>
  </si>
  <si>
    <t>comprim. * larg. (110*7)</t>
  </si>
  <si>
    <t>comprim. * quantidade (110*2)</t>
  </si>
  <si>
    <t>comprim. * larg. * espessura (110*2*1,5*0,07)</t>
  </si>
  <si>
    <t>comprim. * larg. * espessura (90*2*1,5*0,07)</t>
  </si>
  <si>
    <t>comprim. * quantidade (90*2)</t>
  </si>
  <si>
    <t>comprim. * larg. (107*6,30)</t>
  </si>
  <si>
    <t>comprim. * larg. * espessura (107*2*1,5*0,07)</t>
  </si>
  <si>
    <t>comprim. * qunat. (107*2)</t>
  </si>
  <si>
    <t>comprim. * larg. (93*6)</t>
  </si>
  <si>
    <t>comprim. * larg. * espessura ( 93*2*1,5*0,07)</t>
  </si>
  <si>
    <t>comprim. * quant. (93*2)</t>
  </si>
  <si>
    <t>comprim. *  larg. (232* 7,4)</t>
  </si>
  <si>
    <t>comprim. * larg (90*7)</t>
  </si>
  <si>
    <t>comprim. - entrada das tranversais * larg. * espessura (232 * 2 - (4*6) *1,5*0,07)</t>
  </si>
  <si>
    <t>comprim. - tranversais (232*2 - 4*7)</t>
  </si>
  <si>
    <t>comprim. * larg ( 119*6)</t>
  </si>
  <si>
    <t>comprim. * larg. * espessura ( 97*1,50 *0,07)</t>
  </si>
  <si>
    <t>comprim. (342*2)- transversais (7*6)+ entradas das transversais e travamentos (2*5)</t>
  </si>
  <si>
    <t>comprim. (345*2)- tranversais (6*6)+ entrada das tranversais e travamentos (12*2)</t>
  </si>
  <si>
    <t>comprim. * qunat. (232)*2 - transversais (4*7)+ entradas das tranversais e travamentos (13*6)</t>
  </si>
  <si>
    <t>comprim. * quantidade + travamentos (97*2)+(6*2)</t>
  </si>
  <si>
    <t>compri. * quantidade (97*2)</t>
  </si>
  <si>
    <t>faixas continuas ((85)+(124)+(125+110+30)+(100)+(76)+(80+66+50+67)+(97+77)+(93)+(78,5)+(41+62+69)+(86,75))*0,1*0,5+ faixas de pedrestres (36*0,4*4*6)</t>
  </si>
  <si>
    <t>6*1</t>
  </si>
  <si>
    <t>11*1</t>
  </si>
  <si>
    <t>comprim. * larg. (12,2 * 0,20)</t>
  </si>
  <si>
    <t>(comprim. - descontos )* larg. (280-12*0,20)</t>
  </si>
  <si>
    <t>comprim. * larg . (12,80*0,20)</t>
  </si>
  <si>
    <t>(comprim. - descontos )* larg. (680-49-36) * 0,20</t>
  </si>
  <si>
    <t>comprim. * larg. ( 20*0,20)</t>
  </si>
  <si>
    <t>(comprim. - descontos)* larg. (220-12) * 0,20</t>
  </si>
  <si>
    <t>comprim. * larg. (12,8*0,20)</t>
  </si>
  <si>
    <t>(comprim. - descontos) * larg. (172-12) *0,20</t>
  </si>
  <si>
    <t>comprim. * larg (12,6*0,20)</t>
  </si>
  <si>
    <t>(comprim. - descontos)* larg. ( 690-42)*0,20</t>
  </si>
  <si>
    <t>comprim. * larg (50,80)*0,20</t>
  </si>
  <si>
    <t>(comprim. - descontos)* larg (220-14)*0,20</t>
  </si>
  <si>
    <t>comprim. * larg. (13,60*0,20)</t>
  </si>
  <si>
    <t>(comprim. - descontos) * larg.  (180-24)*0,20</t>
  </si>
  <si>
    <t>(comprim. - desconto)* larg (214-12)*0,20</t>
  </si>
  <si>
    <t>comprim. *Larg. (12,80*0,20)</t>
  </si>
  <si>
    <t>(comprim. * larg) (12,80*0,20)</t>
  </si>
  <si>
    <t xml:space="preserve">(comprim. - descontos ) * larg. (186-12) 0,20 </t>
  </si>
  <si>
    <t>(comprim. - descontos) * larg. (464-28-12)*0,20</t>
  </si>
  <si>
    <t>(comprim. - descontos) * larg. (194-12)*0,20</t>
  </si>
  <si>
    <t>(comprim. * larg) (13,12*0,20)</t>
  </si>
  <si>
    <t>(comprim. * larg.) (21,28*0,20)</t>
  </si>
  <si>
    <t>(comprim. * larg) (12*0,20)</t>
  </si>
  <si>
    <t>MEMORIAL DE CÁLCULO</t>
  </si>
  <si>
    <t>______________________________________________________</t>
  </si>
  <si>
    <t>ENG. CIVIL - CREA: MG219.180/D</t>
  </si>
  <si>
    <t>___________________________________________________</t>
  </si>
  <si>
    <t>ARLEY COSTA MENDES</t>
  </si>
  <si>
    <t>PREFEITO MUNICIPAL</t>
  </si>
  <si>
    <r>
      <t>Responsável Técnico:</t>
    </r>
    <r>
      <rPr>
        <sz val="11"/>
        <rFont val="Arial"/>
        <family val="2"/>
      </rPr>
      <t xml:space="preserve"> VINÍCIUS MODESTO COSTA MATOS - CREA: MG219.180/D</t>
    </r>
  </si>
  <si>
    <t>______________________________________________</t>
  </si>
  <si>
    <t>CRONOGRAMA FÍSICO E FINANCEIRO DA OBRA</t>
  </si>
  <si>
    <r>
      <t>Município:</t>
    </r>
    <r>
      <rPr>
        <sz val="11"/>
        <rFont val="Arial"/>
        <family val="2"/>
      </rPr>
      <t xml:space="preserve"> Novorizonte - MG</t>
    </r>
  </si>
  <si>
    <r>
      <t>Responsável Técnico:</t>
    </r>
    <r>
      <rPr>
        <sz val="11"/>
        <rFont val="Arial"/>
        <family val="2"/>
      </rPr>
      <t xml:space="preserve"> Vinícius Modesto Costa Matos</t>
    </r>
  </si>
  <si>
    <r>
      <t xml:space="preserve">Prefeito(a): </t>
    </r>
    <r>
      <rPr>
        <sz val="10"/>
        <rFont val="Arial"/>
        <family val="2"/>
      </rPr>
      <t>Arley Costa Mendes</t>
    </r>
  </si>
  <si>
    <r>
      <t>Data de início da obra:</t>
    </r>
    <r>
      <rPr>
        <sz val="11"/>
        <rFont val="Arial"/>
        <family val="2"/>
      </rPr>
      <t xml:space="preserve"> 01/03/2019</t>
    </r>
  </si>
  <si>
    <t>DESCRIÇÃO</t>
  </si>
  <si>
    <t>VALOR DOS SERVIÇOS</t>
  </si>
  <si>
    <t>Grandes Itens (Etapas da obra)</t>
  </si>
  <si>
    <t>R$</t>
  </si>
  <si>
    <t>Peso %</t>
  </si>
  <si>
    <t>TOTAL GERAL</t>
  </si>
  <si>
    <t>CALÇADA</t>
  </si>
  <si>
    <t>%</t>
  </si>
  <si>
    <t>MEIO-FIO E SARJETA</t>
  </si>
  <si>
    <t>TOTAIS</t>
  </si>
  <si>
    <t>TOTAIS ACUMULADOS</t>
  </si>
  <si>
    <t>Município de Novorizonte, 30 de janeiro de 2019</t>
  </si>
  <si>
    <r>
      <t>___________________________________________
Responsável Técnico:</t>
    </r>
    <r>
      <rPr>
        <b/>
        <sz val="10"/>
        <rFont val="Arial"/>
        <family val="2"/>
      </rPr>
      <t xml:space="preserve"> Vinícius Modesto Costa Matos / CREA: MG2191.80/D</t>
    </r>
  </si>
  <si>
    <t xml:space="preserve">Observações: </t>
  </si>
  <si>
    <t>1. Caso o prazo exceda 6 meses, acrescentar as colunas necessárias.</t>
  </si>
  <si>
    <t>2. Caso o prazo seja inferior a seis meses, utilizar as colunas necessárias (exemplo: se o prazo for de um mês, preencher somente referente ao 1º mês).</t>
  </si>
  <si>
    <t>3. Acrescentar linhas, se o número de grandes itens superar as linhas existentes.</t>
  </si>
  <si>
    <t>EXECUÇÃODECALÇAMENTOEMBLOQUETE-E=8CM - FCK=35MPA,INCLUINDOFORNECIMENTOETRANSPORTEDETODOSOSMATERIAIS, COLCHÃO DE ASSENTAMENTO E = 6 CM</t>
  </si>
</sst>
</file>

<file path=xl/styles.xml><?xml version="1.0" encoding="utf-8"?>
<styleSheet xmlns="http://schemas.openxmlformats.org/spreadsheetml/2006/main">
  <numFmts count="8">
    <numFmt numFmtId="164" formatCode="_(* #,##0.00_);_(* \(#,##0.00\);_(* &quot;-&quot;??_);_(@_)"/>
    <numFmt numFmtId="165" formatCode="mmmm/yy"/>
    <numFmt numFmtId="166" formatCode="#,##0.0"/>
    <numFmt numFmtId="167" formatCode="&quot;R$&quot;\ #,##0.00"/>
    <numFmt numFmtId="168" formatCode="0.000"/>
    <numFmt numFmtId="169" formatCode="00\º\ &quot;MÊS&quot;"/>
    <numFmt numFmtId="170" formatCode="&quot;R$ &quot;#,##0.00_);[Red]\(&quot;R$ &quot;#,##0.00\)"/>
    <numFmt numFmtId="171" formatCode="00"/>
  </numFmts>
  <fonts count="2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b/>
      <sz val="2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name val="Arial"/>
      <family val="2"/>
    </font>
    <font>
      <b/>
      <sz val="8"/>
      <name val="Arial"/>
      <family val="2"/>
    </font>
    <font>
      <b/>
      <sz val="14"/>
      <name val="Arial"/>
      <family val="2"/>
    </font>
    <font>
      <b/>
      <sz val="10"/>
      <color rgb="FF00000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9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87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65" fontId="6" fillId="0" borderId="24" xfId="0" applyNumberFormat="1" applyFont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9" fontId="6" fillId="0" borderId="34" xfId="2" applyFont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2" fontId="6" fillId="3" borderId="29" xfId="0" applyNumberFormat="1" applyFont="1" applyFill="1" applyBorder="1" applyAlignment="1">
      <alignment horizontal="center" vertical="center" wrapText="1"/>
    </xf>
    <xf numFmtId="164" fontId="6" fillId="3" borderId="13" xfId="0" applyNumberFormat="1" applyFont="1" applyFill="1" applyBorder="1" applyAlignment="1">
      <alignment horizontal="center" vertical="center" wrapText="1"/>
    </xf>
    <xf numFmtId="164" fontId="6" fillId="3" borderId="15" xfId="0" applyNumberFormat="1" applyFont="1" applyFill="1" applyBorder="1" applyAlignment="1">
      <alignment horizontal="center" vertical="center" wrapText="1"/>
    </xf>
    <xf numFmtId="164" fontId="6" fillId="3" borderId="30" xfId="0" applyNumberFormat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2" fontId="6" fillId="3" borderId="3" xfId="4" applyNumberFormat="1" applyFont="1" applyFill="1" applyBorder="1" applyAlignment="1">
      <alignment horizontal="center" vertical="center"/>
    </xf>
    <xf numFmtId="164" fontId="6" fillId="3" borderId="16" xfId="0" applyNumberFormat="1" applyFont="1" applyFill="1" applyBorder="1" applyAlignment="1">
      <alignment horizontal="center" vertical="center" wrapText="1"/>
    </xf>
    <xf numFmtId="164" fontId="6" fillId="3" borderId="17" xfId="0" applyNumberFormat="1" applyFont="1" applyFill="1" applyBorder="1" applyAlignment="1">
      <alignment horizontal="center" vertical="center" wrapText="1"/>
    </xf>
    <xf numFmtId="164" fontId="6" fillId="3" borderId="4" xfId="0" applyNumberFormat="1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2" fontId="6" fillId="3" borderId="44" xfId="4" applyNumberFormat="1" applyFont="1" applyFill="1" applyBorder="1" applyAlignment="1">
      <alignment horizontal="center" vertical="center"/>
    </xf>
    <xf numFmtId="164" fontId="6" fillId="3" borderId="33" xfId="0" applyNumberFormat="1" applyFont="1" applyFill="1" applyBorder="1" applyAlignment="1">
      <alignment horizontal="center" vertical="center" wrapText="1"/>
    </xf>
    <xf numFmtId="164" fontId="6" fillId="3" borderId="34" xfId="0" applyNumberFormat="1" applyFont="1" applyFill="1" applyBorder="1" applyAlignment="1">
      <alignment horizontal="center" vertical="center" wrapText="1"/>
    </xf>
    <xf numFmtId="164" fontId="6" fillId="3" borderId="8" xfId="0" applyNumberFormat="1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39" fontId="8" fillId="3" borderId="45" xfId="4" applyNumberFormat="1" applyFont="1" applyFill="1" applyBorder="1" applyAlignment="1">
      <alignment horizontal="center" vertical="center"/>
    </xf>
    <xf numFmtId="164" fontId="8" fillId="3" borderId="35" xfId="0" applyNumberFormat="1" applyFont="1" applyFill="1" applyBorder="1" applyAlignment="1">
      <alignment horizontal="center" vertical="center" wrapText="1"/>
    </xf>
    <xf numFmtId="164" fontId="8" fillId="3" borderId="37" xfId="0" applyNumberFormat="1" applyFont="1" applyFill="1" applyBorder="1" applyAlignment="1">
      <alignment horizontal="center" vertical="center" wrapText="1"/>
    </xf>
    <xf numFmtId="164" fontId="8" fillId="3" borderId="48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1" xfId="0" applyFont="1" applyBorder="1"/>
    <xf numFmtId="0" fontId="11" fillId="0" borderId="0" xfId="0" applyFont="1"/>
    <xf numFmtId="0" fontId="11" fillId="0" borderId="1" xfId="0" applyFont="1" applyBorder="1"/>
    <xf numFmtId="0" fontId="6" fillId="3" borderId="2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55" xfId="0" applyFont="1" applyBorder="1"/>
    <xf numFmtId="0" fontId="2" fillId="4" borderId="60" xfId="0" applyFont="1" applyFill="1" applyBorder="1"/>
    <xf numFmtId="0" fontId="2" fillId="5" borderId="13" xfId="0" applyFont="1" applyFill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/>
    </xf>
    <xf numFmtId="0" fontId="2" fillId="0" borderId="0" xfId="0" applyFont="1"/>
    <xf numFmtId="0" fontId="0" fillId="0" borderId="79" xfId="0" applyBorder="1"/>
    <xf numFmtId="0" fontId="0" fillId="5" borderId="35" xfId="0" applyFill="1" applyBorder="1" applyAlignment="1">
      <alignment horizontal="center" vertical="center"/>
    </xf>
    <xf numFmtId="4" fontId="2" fillId="0" borderId="0" xfId="0" applyNumberFormat="1" applyFont="1"/>
    <xf numFmtId="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" fontId="12" fillId="0" borderId="0" xfId="0" applyNumberFormat="1" applyFont="1" applyAlignment="1">
      <alignment horizontal="center"/>
    </xf>
    <xf numFmtId="4" fontId="0" fillId="0" borderId="0" xfId="0" applyNumberFormat="1"/>
    <xf numFmtId="4" fontId="0" fillId="0" borderId="0" xfId="0" applyNumberFormat="1" applyAlignment="1">
      <alignment horizontal="center"/>
    </xf>
    <xf numFmtId="0" fontId="14" fillId="3" borderId="0" xfId="0" applyFont="1" applyFill="1"/>
    <xf numFmtId="4" fontId="0" fillId="3" borderId="0" xfId="0" applyNumberFormat="1" applyFill="1"/>
    <xf numFmtId="4" fontId="0" fillId="3" borderId="0" xfId="0" applyNumberFormat="1" applyFill="1" applyAlignment="1">
      <alignment horizontal="center"/>
    </xf>
    <xf numFmtId="0" fontId="0" fillId="3" borderId="0" xfId="0" applyFill="1"/>
    <xf numFmtId="0" fontId="6" fillId="3" borderId="3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1" fillId="3" borderId="75" xfId="0" applyFont="1" applyFill="1" applyBorder="1" applyAlignment="1">
      <alignment horizontal="center" vertical="center"/>
    </xf>
    <xf numFmtId="0" fontId="1" fillId="3" borderId="52" xfId="0" applyFont="1" applyFill="1" applyBorder="1"/>
    <xf numFmtId="4" fontId="0" fillId="3" borderId="77" xfId="0" applyNumberFormat="1" applyFill="1" applyBorder="1" applyAlignment="1">
      <alignment horizontal="center"/>
    </xf>
    <xf numFmtId="0" fontId="1" fillId="3" borderId="80" xfId="0" applyFont="1" applyFill="1" applyBorder="1"/>
    <xf numFmtId="4" fontId="0" fillId="3" borderId="79" xfId="0" applyNumberFormat="1" applyFill="1" applyBorder="1" applyAlignment="1">
      <alignment horizontal="center"/>
    </xf>
    <xf numFmtId="4" fontId="0" fillId="3" borderId="80" xfId="0" applyNumberFormat="1" applyFill="1" applyBorder="1" applyAlignment="1">
      <alignment horizontal="center"/>
    </xf>
    <xf numFmtId="166" fontId="0" fillId="3" borderId="79" xfId="0" applyNumberFormat="1" applyFill="1" applyBorder="1" applyAlignment="1">
      <alignment horizontal="center"/>
    </xf>
    <xf numFmtId="4" fontId="1" fillId="3" borderId="82" xfId="0" applyNumberFormat="1" applyFont="1" applyFill="1" applyBorder="1" applyAlignment="1">
      <alignment horizontal="center"/>
    </xf>
    <xf numFmtId="166" fontId="1" fillId="3" borderId="82" xfId="0" applyNumberFormat="1" applyFont="1" applyFill="1" applyBorder="1" applyAlignment="1">
      <alignment horizontal="center"/>
    </xf>
    <xf numFmtId="4" fontId="0" fillId="3" borderId="84" xfId="0" applyNumberForma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167" fontId="6" fillId="3" borderId="17" xfId="0" applyNumberFormat="1" applyFont="1" applyFill="1" applyBorder="1" applyAlignment="1">
      <alignment horizontal="right" vertical="center" wrapText="1"/>
    </xf>
    <xf numFmtId="167" fontId="6" fillId="3" borderId="34" xfId="0" applyNumberFormat="1" applyFont="1" applyFill="1" applyBorder="1" applyAlignment="1">
      <alignment horizontal="right" vertical="center" wrapText="1"/>
    </xf>
    <xf numFmtId="167" fontId="8" fillId="3" borderId="37" xfId="0" applyNumberFormat="1" applyFont="1" applyFill="1" applyBorder="1" applyAlignment="1">
      <alignment horizontal="right" vertical="center" wrapText="1"/>
    </xf>
    <xf numFmtId="4" fontId="0" fillId="3" borderId="75" xfId="0" applyNumberFormat="1" applyFill="1" applyBorder="1" applyAlignment="1">
      <alignment horizontal="center"/>
    </xf>
    <xf numFmtId="4" fontId="0" fillId="3" borderId="52" xfId="0" applyNumberFormat="1" applyFill="1" applyBorder="1" applyAlignment="1">
      <alignment horizontal="center"/>
    </xf>
    <xf numFmtId="4" fontId="1" fillId="3" borderId="76" xfId="0" applyNumberFormat="1" applyFont="1" applyFill="1" applyBorder="1" applyAlignment="1">
      <alignment horizontal="center"/>
    </xf>
    <xf numFmtId="166" fontId="1" fillId="3" borderId="77" xfId="0" applyNumberFormat="1" applyFont="1" applyFill="1" applyBorder="1" applyAlignment="1">
      <alignment horizontal="center"/>
    </xf>
    <xf numFmtId="4" fontId="0" fillId="3" borderId="53" xfId="0" applyNumberFormat="1" applyFill="1" applyBorder="1" applyAlignment="1">
      <alignment horizontal="center"/>
    </xf>
    <xf numFmtId="166" fontId="1" fillId="3" borderId="75" xfId="0" applyNumberFormat="1" applyFont="1" applyFill="1" applyBorder="1" applyAlignment="1">
      <alignment horizontal="center"/>
    </xf>
    <xf numFmtId="4" fontId="0" fillId="3" borderId="78" xfId="0" applyNumberFormat="1" applyFill="1" applyBorder="1" applyAlignment="1">
      <alignment horizontal="center"/>
    </xf>
    <xf numFmtId="4" fontId="1" fillId="3" borderId="75" xfId="0" applyNumberFormat="1" applyFont="1" applyFill="1" applyBorder="1" applyAlignment="1">
      <alignment horizontal="center"/>
    </xf>
    <xf numFmtId="4" fontId="0" fillId="3" borderId="76" xfId="0" applyNumberFormat="1" applyFill="1" applyBorder="1" applyAlignment="1">
      <alignment horizontal="center"/>
    </xf>
    <xf numFmtId="4" fontId="1" fillId="3" borderId="77" xfId="0" applyNumberFormat="1" applyFont="1" applyFill="1" applyBorder="1" applyAlignment="1">
      <alignment horizontal="center"/>
    </xf>
    <xf numFmtId="4" fontId="0" fillId="3" borderId="54" xfId="0" applyNumberFormat="1" applyFill="1" applyBorder="1" applyAlignment="1">
      <alignment horizontal="center"/>
    </xf>
    <xf numFmtId="0" fontId="1" fillId="7" borderId="75" xfId="0" applyFont="1" applyFill="1" applyBorder="1" applyAlignment="1">
      <alignment horizontal="center" vertical="center"/>
    </xf>
    <xf numFmtId="164" fontId="8" fillId="3" borderId="15" xfId="0" applyNumberFormat="1" applyFont="1" applyFill="1" applyBorder="1" applyAlignment="1">
      <alignment horizontal="center" vertical="center" wrapText="1"/>
    </xf>
    <xf numFmtId="167" fontId="8" fillId="3" borderId="17" xfId="0" applyNumberFormat="1" applyFont="1" applyFill="1" applyBorder="1" applyAlignment="1">
      <alignment horizontal="right" vertical="center" wrapText="1"/>
    </xf>
    <xf numFmtId="0" fontId="2" fillId="3" borderId="57" xfId="0" applyFont="1" applyFill="1" applyBorder="1" applyAlignment="1">
      <alignment horizontal="left"/>
    </xf>
    <xf numFmtId="0" fontId="2" fillId="3" borderId="57" xfId="0" applyFont="1" applyFill="1" applyBorder="1"/>
    <xf numFmtId="0" fontId="2" fillId="3" borderId="57" xfId="0" applyFont="1" applyFill="1" applyBorder="1" applyAlignment="1">
      <alignment horizontal="center"/>
    </xf>
    <xf numFmtId="0" fontId="2" fillId="3" borderId="58" xfId="0" applyFont="1" applyFill="1" applyBorder="1" applyAlignment="1">
      <alignment horizontal="left"/>
    </xf>
    <xf numFmtId="14" fontId="2" fillId="3" borderId="59" xfId="0" applyNumberFormat="1" applyFont="1" applyFill="1" applyBorder="1"/>
    <xf numFmtId="0" fontId="2" fillId="3" borderId="29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42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63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2" fillId="3" borderId="65" xfId="0" applyFont="1" applyFill="1" applyBorder="1"/>
    <xf numFmtId="4" fontId="2" fillId="3" borderId="66" xfId="0" applyNumberFormat="1" applyFont="1" applyFill="1" applyBorder="1" applyAlignment="1">
      <alignment horizontal="center"/>
    </xf>
    <xf numFmtId="4" fontId="2" fillId="3" borderId="67" xfId="0" applyNumberFormat="1" applyFont="1" applyFill="1" applyBorder="1" applyAlignment="1">
      <alignment horizontal="center"/>
    </xf>
    <xf numFmtId="4" fontId="2" fillId="3" borderId="68" xfId="0" applyNumberFormat="1" applyFont="1" applyFill="1" applyBorder="1" applyAlignment="1">
      <alignment horizontal="center"/>
    </xf>
    <xf numFmtId="4" fontId="2" fillId="3" borderId="69" xfId="0" applyNumberFormat="1" applyFont="1" applyFill="1" applyBorder="1" applyAlignment="1">
      <alignment horizontal="center"/>
    </xf>
    <xf numFmtId="4" fontId="2" fillId="3" borderId="70" xfId="0" applyNumberFormat="1" applyFont="1" applyFill="1" applyBorder="1" applyAlignment="1">
      <alignment horizontal="center"/>
    </xf>
    <xf numFmtId="166" fontId="2" fillId="3" borderId="64" xfId="0" applyNumberFormat="1" applyFont="1" applyFill="1" applyBorder="1" applyAlignment="1">
      <alignment horizontal="center"/>
    </xf>
    <xf numFmtId="4" fontId="2" fillId="3" borderId="71" xfId="0" applyNumberFormat="1" applyFont="1" applyFill="1" applyBorder="1" applyAlignment="1">
      <alignment horizontal="center"/>
    </xf>
    <xf numFmtId="166" fontId="2" fillId="3" borderId="72" xfId="0" applyNumberFormat="1" applyFont="1" applyFill="1" applyBorder="1" applyAlignment="1">
      <alignment horizontal="center"/>
    </xf>
    <xf numFmtId="4" fontId="2" fillId="3" borderId="73" xfId="0" applyNumberFormat="1" applyFont="1" applyFill="1" applyBorder="1" applyAlignment="1">
      <alignment horizontal="center"/>
    </xf>
    <xf numFmtId="4" fontId="2" fillId="3" borderId="64" xfId="0" applyNumberFormat="1" applyFont="1" applyFill="1" applyBorder="1" applyAlignment="1">
      <alignment horizontal="center"/>
    </xf>
    <xf numFmtId="4" fontId="2" fillId="3" borderId="65" xfId="0" applyNumberFormat="1" applyFont="1" applyFill="1" applyBorder="1" applyAlignment="1">
      <alignment horizontal="center"/>
    </xf>
    <xf numFmtId="4" fontId="2" fillId="3" borderId="72" xfId="0" applyNumberFormat="1" applyFont="1" applyFill="1" applyBorder="1" applyAlignment="1">
      <alignment horizontal="center"/>
    </xf>
    <xf numFmtId="4" fontId="2" fillId="3" borderId="74" xfId="0" applyNumberFormat="1" applyFont="1" applyFill="1" applyBorder="1" applyAlignment="1">
      <alignment horizontal="center"/>
    </xf>
    <xf numFmtId="0" fontId="0" fillId="3" borderId="80" xfId="0" applyFill="1" applyBorder="1"/>
    <xf numFmtId="4" fontId="0" fillId="3" borderId="81" xfId="0" applyNumberFormat="1" applyFill="1" applyBorder="1" applyAlignment="1">
      <alignment horizontal="center"/>
    </xf>
    <xf numFmtId="4" fontId="0" fillId="3" borderId="83" xfId="0" applyNumberFormat="1" applyFill="1" applyBorder="1" applyAlignment="1">
      <alignment horizontal="center"/>
    </xf>
    <xf numFmtId="4" fontId="1" fillId="3" borderId="79" xfId="0" applyNumberFormat="1" applyFont="1" applyFill="1" applyBorder="1" applyAlignment="1">
      <alignment horizontal="center"/>
    </xf>
    <xf numFmtId="4" fontId="1" fillId="3" borderId="81" xfId="0" applyNumberFormat="1" applyFont="1" applyFill="1" applyBorder="1" applyAlignment="1">
      <alignment horizontal="center"/>
    </xf>
    <xf numFmtId="4" fontId="0" fillId="3" borderId="82" xfId="0" applyNumberFormat="1" applyFill="1" applyBorder="1" applyAlignment="1">
      <alignment horizontal="center"/>
    </xf>
    <xf numFmtId="4" fontId="0" fillId="3" borderId="85" xfId="0" applyNumberFormat="1" applyFill="1" applyBorder="1" applyAlignment="1">
      <alignment horizontal="center"/>
    </xf>
    <xf numFmtId="0" fontId="2" fillId="3" borderId="45" xfId="0" applyFont="1" applyFill="1" applyBorder="1" applyAlignment="1">
      <alignment horizontal="center" vertical="center"/>
    </xf>
    <xf numFmtId="4" fontId="2" fillId="3" borderId="35" xfId="0" applyNumberFormat="1" applyFont="1" applyFill="1" applyBorder="1" applyAlignment="1">
      <alignment horizontal="center" vertical="center"/>
    </xf>
    <xf numFmtId="4" fontId="2" fillId="3" borderId="45" xfId="0" applyNumberFormat="1" applyFont="1" applyFill="1" applyBorder="1" applyAlignment="1">
      <alignment horizontal="center" vertical="center"/>
    </xf>
    <xf numFmtId="4" fontId="2" fillId="3" borderId="39" xfId="0" applyNumberFormat="1" applyFont="1" applyFill="1" applyBorder="1" applyAlignment="1">
      <alignment horizontal="center" vertical="center"/>
    </xf>
    <xf numFmtId="4" fontId="2" fillId="3" borderId="48" xfId="0" applyNumberFormat="1" applyFont="1" applyFill="1" applyBorder="1" applyAlignment="1">
      <alignment horizontal="center" vertical="center"/>
    </xf>
    <xf numFmtId="4" fontId="2" fillId="3" borderId="40" xfId="0" applyNumberFormat="1" applyFont="1" applyFill="1" applyBorder="1" applyAlignment="1">
      <alignment horizontal="center" vertical="center"/>
    </xf>
    <xf numFmtId="4" fontId="2" fillId="3" borderId="37" xfId="0" applyNumberFormat="1" applyFont="1" applyFill="1" applyBorder="1" applyAlignment="1">
      <alignment horizontal="center" vertical="center"/>
    </xf>
    <xf numFmtId="4" fontId="2" fillId="3" borderId="61" xfId="0" applyNumberFormat="1" applyFont="1" applyFill="1" applyBorder="1"/>
    <xf numFmtId="4" fontId="2" fillId="3" borderId="87" xfId="0" applyNumberFormat="1" applyFont="1" applyFill="1" applyBorder="1" applyAlignment="1">
      <alignment horizontal="center" vertical="center"/>
    </xf>
    <xf numFmtId="4" fontId="2" fillId="3" borderId="0" xfId="0" applyNumberFormat="1" applyFont="1" applyFill="1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7" xfId="0" applyBorder="1" applyAlignment="1">
      <alignment wrapText="1"/>
    </xf>
    <xf numFmtId="0" fontId="0" fillId="0" borderId="63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15" fillId="6" borderId="2" xfId="0" applyFont="1" applyFill="1" applyBorder="1" applyAlignment="1" applyProtection="1">
      <alignment vertical="center" wrapText="1"/>
      <protection locked="0"/>
    </xf>
    <xf numFmtId="0" fontId="17" fillId="4" borderId="2" xfId="0" applyFont="1" applyFill="1" applyBorder="1" applyAlignment="1" applyProtection="1">
      <alignment horizontal="justify" vertical="center" wrapText="1"/>
      <protection locked="0"/>
    </xf>
    <xf numFmtId="0" fontId="16" fillId="3" borderId="2" xfId="0" applyFont="1" applyFill="1" applyBorder="1" applyAlignment="1" applyProtection="1">
      <alignment horizontal="justify" vertical="center" wrapText="1"/>
      <protection locked="0"/>
    </xf>
    <xf numFmtId="164" fontId="16" fillId="6" borderId="2" xfId="5" applyFont="1" applyFill="1" applyBorder="1" applyAlignment="1" applyProtection="1">
      <alignment horizontal="justify" vertical="center" wrapText="1"/>
      <protection locked="0"/>
    </xf>
    <xf numFmtId="0" fontId="15" fillId="4" borderId="2" xfId="0" applyFont="1" applyFill="1" applyBorder="1" applyAlignment="1" applyProtection="1">
      <alignment horizontal="justify" vertical="center" wrapText="1"/>
      <protection locked="0"/>
    </xf>
    <xf numFmtId="0" fontId="15" fillId="3" borderId="2" xfId="0" applyFont="1" applyFill="1" applyBorder="1" applyAlignment="1" applyProtection="1">
      <alignment horizontal="justify" vertical="center" wrapText="1"/>
      <protection locked="0"/>
    </xf>
    <xf numFmtId="0" fontId="15" fillId="3" borderId="2" xfId="0" applyFont="1" applyFill="1" applyBorder="1" applyAlignment="1" applyProtection="1">
      <alignment horizontal="center" vertical="center" wrapText="1"/>
      <protection locked="0"/>
    </xf>
    <xf numFmtId="4" fontId="15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44" xfId="0" applyBorder="1" applyAlignment="1">
      <alignment wrapText="1"/>
    </xf>
    <xf numFmtId="0" fontId="18" fillId="3" borderId="5" xfId="0" applyFont="1" applyFill="1" applyBorder="1" applyAlignment="1" applyProtection="1">
      <alignment horizontal="center" vertical="center" wrapText="1"/>
      <protection locked="0"/>
    </xf>
    <xf numFmtId="0" fontId="16" fillId="3" borderId="5" xfId="0" applyFont="1" applyFill="1" applyBorder="1" applyAlignment="1" applyProtection="1">
      <alignment horizontal="justify" vertical="center" wrapText="1"/>
      <protection locked="0"/>
    </xf>
    <xf numFmtId="0" fontId="8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3" borderId="51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3" borderId="44" xfId="0" applyFont="1" applyFill="1" applyBorder="1" applyAlignment="1">
      <alignment vertical="center"/>
    </xf>
    <xf numFmtId="170" fontId="2" fillId="3" borderId="44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0" fillId="0" borderId="0" xfId="0" applyBorder="1"/>
    <xf numFmtId="171" fontId="2" fillId="3" borderId="13" xfId="0" applyNumberFormat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vertical="center"/>
    </xf>
    <xf numFmtId="164" fontId="1" fillId="3" borderId="14" xfId="4" applyFont="1" applyFill="1" applyBorder="1" applyAlignment="1">
      <alignment vertical="center"/>
    </xf>
    <xf numFmtId="10" fontId="2" fillId="3" borderId="14" xfId="2" applyNumberFormat="1" applyFont="1" applyFill="1" applyBorder="1" applyAlignment="1">
      <alignment horizontal="center" vertical="center"/>
    </xf>
    <xf numFmtId="10" fontId="1" fillId="3" borderId="14" xfId="2" applyNumberFormat="1" applyFont="1" applyFill="1" applyBorder="1" applyAlignment="1">
      <alignment vertical="center"/>
    </xf>
    <xf numFmtId="10" fontId="1" fillId="3" borderId="14" xfId="0" applyNumberFormat="1" applyFont="1" applyFill="1" applyBorder="1" applyAlignment="1">
      <alignment vertical="center"/>
    </xf>
    <xf numFmtId="171" fontId="2" fillId="3" borderId="1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164" fontId="1" fillId="3" borderId="2" xfId="4" applyFont="1" applyFill="1" applyBorder="1" applyAlignment="1">
      <alignment vertical="center"/>
    </xf>
    <xf numFmtId="10" fontId="2" fillId="3" borderId="2" xfId="2" applyNumberFormat="1" applyFont="1" applyFill="1" applyBorder="1" applyAlignment="1">
      <alignment horizontal="center" vertical="center"/>
    </xf>
    <xf numFmtId="10" fontId="1" fillId="3" borderId="2" xfId="2" applyNumberFormat="1" applyFont="1" applyFill="1" applyBorder="1" applyAlignment="1">
      <alignment vertical="center"/>
    </xf>
    <xf numFmtId="10" fontId="1" fillId="3" borderId="2" xfId="0" applyNumberFormat="1" applyFont="1" applyFill="1" applyBorder="1" applyAlignment="1">
      <alignment vertical="center"/>
    </xf>
    <xf numFmtId="170" fontId="2" fillId="0" borderId="0" xfId="0" applyNumberFormat="1" applyFont="1" applyBorder="1" applyAlignment="1">
      <alignment vertical="center"/>
    </xf>
    <xf numFmtId="164" fontId="0" fillId="0" borderId="0" xfId="4" applyFont="1" applyBorder="1" applyAlignment="1">
      <alignment vertical="center"/>
    </xf>
    <xf numFmtId="10" fontId="0" fillId="0" borderId="0" xfId="0" applyNumberFormat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0" fontId="0" fillId="0" borderId="42" xfId="0" applyNumberFormat="1" applyBorder="1" applyAlignment="1">
      <alignment vertical="center"/>
    </xf>
    <xf numFmtId="171" fontId="2" fillId="3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vertical="center"/>
    </xf>
    <xf numFmtId="164" fontId="1" fillId="3" borderId="19" xfId="4" applyFont="1" applyFill="1" applyBorder="1" applyAlignment="1">
      <alignment vertical="center"/>
    </xf>
    <xf numFmtId="10" fontId="2" fillId="3" borderId="19" xfId="2" applyNumberFormat="1" applyFont="1" applyFill="1" applyBorder="1" applyAlignment="1">
      <alignment horizontal="center" vertical="center"/>
    </xf>
    <xf numFmtId="10" fontId="1" fillId="3" borderId="19" xfId="2" applyNumberFormat="1" applyFont="1" applyFill="1" applyBorder="1" applyAlignment="1">
      <alignment vertical="center"/>
    </xf>
    <xf numFmtId="10" fontId="1" fillId="3" borderId="19" xfId="0" applyNumberFormat="1" applyFont="1" applyFill="1" applyBorder="1" applyAlignment="1">
      <alignment vertical="center"/>
    </xf>
    <xf numFmtId="0" fontId="1" fillId="3" borderId="89" xfId="0" applyFont="1" applyFill="1" applyBorder="1" applyAlignment="1">
      <alignment horizontal="center" vertical="center"/>
    </xf>
    <xf numFmtId="0" fontId="1" fillId="3" borderId="89" xfId="0" applyFont="1" applyFill="1" applyBorder="1" applyAlignment="1">
      <alignment vertical="center"/>
    </xf>
    <xf numFmtId="164" fontId="1" fillId="3" borderId="89" xfId="4" applyFont="1" applyFill="1" applyBorder="1" applyAlignment="1">
      <alignment vertical="center"/>
    </xf>
    <xf numFmtId="9" fontId="2" fillId="3" borderId="89" xfId="2" applyFont="1" applyFill="1" applyBorder="1" applyAlignment="1">
      <alignment horizontal="center" vertical="center"/>
    </xf>
    <xf numFmtId="9" fontId="1" fillId="3" borderId="89" xfId="0" applyNumberFormat="1" applyFont="1" applyFill="1" applyBorder="1" applyAlignment="1">
      <alignment vertical="center"/>
    </xf>
    <xf numFmtId="164" fontId="1" fillId="3" borderId="45" xfId="4" applyNumberFormat="1" applyFont="1" applyFill="1" applyBorder="1" applyAlignment="1">
      <alignment vertical="center"/>
    </xf>
    <xf numFmtId="10" fontId="1" fillId="3" borderId="37" xfId="2" applyNumberFormat="1" applyFont="1" applyFill="1" applyBorder="1" applyAlignment="1">
      <alignment vertical="center"/>
    </xf>
    <xf numFmtId="164" fontId="1" fillId="3" borderId="48" xfId="4" applyNumberFormat="1" applyFont="1" applyFill="1" applyBorder="1" applyAlignment="1">
      <alignment vertical="center"/>
    </xf>
    <xf numFmtId="10" fontId="1" fillId="3" borderId="36" xfId="4" applyNumberFormat="1" applyFont="1" applyFill="1" applyBorder="1" applyAlignment="1">
      <alignment vertical="center"/>
    </xf>
    <xf numFmtId="164" fontId="1" fillId="3" borderId="36" xfId="4" applyNumberFormat="1" applyFont="1" applyFill="1" applyBorder="1" applyAlignment="1">
      <alignment vertical="center"/>
    </xf>
    <xf numFmtId="164" fontId="1" fillId="3" borderId="31" xfId="0" applyNumberFormat="1" applyFont="1" applyFill="1" applyBorder="1" applyAlignment="1">
      <alignment vertical="center"/>
    </xf>
    <xf numFmtId="164" fontId="1" fillId="3" borderId="91" xfId="0" applyNumberFormat="1" applyFont="1" applyFill="1" applyBorder="1" applyAlignment="1">
      <alignment vertical="center"/>
    </xf>
    <xf numFmtId="10" fontId="1" fillId="3" borderId="31" xfId="0" applyNumberFormat="1" applyFont="1" applyFill="1" applyBorder="1" applyAlignment="1">
      <alignment vertical="center"/>
    </xf>
    <xf numFmtId="10" fontId="1" fillId="3" borderId="31" xfId="2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164" fontId="0" fillId="0" borderId="51" xfId="4" applyNumberFormat="1" applyFont="1" applyBorder="1" applyAlignment="1">
      <alignment vertical="center"/>
    </xf>
    <xf numFmtId="10" fontId="0" fillId="0" borderId="45" xfId="0" applyNumberFormat="1" applyBorder="1" applyAlignment="1">
      <alignment vertical="center"/>
    </xf>
    <xf numFmtId="164" fontId="0" fillId="0" borderId="51" xfId="0" applyNumberFormat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2" fillId="3" borderId="56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35" xfId="0" applyFont="1" applyFill="1" applyBorder="1" applyAlignment="1">
      <alignment horizontal="center"/>
    </xf>
    <xf numFmtId="0" fontId="2" fillId="3" borderId="36" xfId="0" applyFont="1" applyFill="1" applyBorder="1" applyAlignment="1">
      <alignment horizontal="center"/>
    </xf>
    <xf numFmtId="0" fontId="2" fillId="3" borderId="45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3" borderId="38" xfId="0" applyFont="1" applyFill="1" applyBorder="1" applyAlignment="1">
      <alignment horizontal="center"/>
    </xf>
    <xf numFmtId="0" fontId="2" fillId="3" borderId="39" xfId="0" applyFont="1" applyFill="1" applyBorder="1" applyAlignment="1">
      <alignment horizontal="center"/>
    </xf>
    <xf numFmtId="0" fontId="2" fillId="3" borderId="40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0" fontId="12" fillId="3" borderId="61" xfId="0" applyFont="1" applyFill="1" applyBorder="1" applyAlignment="1">
      <alignment horizontal="center" vertical="center" wrapText="1"/>
    </xf>
    <xf numFmtId="0" fontId="12" fillId="3" borderId="51" xfId="0" applyFont="1" applyFill="1" applyBorder="1" applyAlignment="1">
      <alignment horizontal="center" vertical="center" wrapText="1"/>
    </xf>
    <xf numFmtId="0" fontId="12" fillId="3" borderId="62" xfId="0" applyFont="1" applyFill="1" applyBorder="1" applyAlignment="1">
      <alignment horizontal="center" vertical="center" wrapText="1"/>
    </xf>
    <xf numFmtId="0" fontId="12" fillId="3" borderId="49" xfId="0" applyFont="1" applyFill="1" applyBorder="1" applyAlignment="1">
      <alignment horizontal="center" vertical="center" wrapText="1"/>
    </xf>
    <xf numFmtId="0" fontId="12" fillId="3" borderId="46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4" fontId="2" fillId="3" borderId="39" xfId="0" applyNumberFormat="1" applyFont="1" applyFill="1" applyBorder="1" applyAlignment="1">
      <alignment horizontal="center" vertical="center"/>
    </xf>
    <xf numFmtId="4" fontId="2" fillId="3" borderId="48" xfId="0" applyNumberFormat="1" applyFont="1" applyFill="1" applyBorder="1" applyAlignment="1">
      <alignment horizontal="center" vertical="center"/>
    </xf>
    <xf numFmtId="4" fontId="2" fillId="3" borderId="38" xfId="0" applyNumberFormat="1" applyFont="1" applyFill="1" applyBorder="1" applyAlignment="1">
      <alignment horizontal="center" vertical="center"/>
    </xf>
    <xf numFmtId="4" fontId="2" fillId="3" borderId="4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4" fontId="2" fillId="3" borderId="0" xfId="0" applyNumberFormat="1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0" borderId="51" xfId="0" applyFont="1" applyBorder="1" applyAlignment="1">
      <alignment horizontal="center"/>
    </xf>
    <xf numFmtId="0" fontId="8" fillId="3" borderId="46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49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23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10" fontId="1" fillId="0" borderId="25" xfId="2" applyNumberForma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8" fillId="0" borderId="16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3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168" fontId="1" fillId="0" borderId="0" xfId="0" quotePrefix="1" applyNumberFormat="1" applyFont="1" applyAlignment="1">
      <alignment horizontal="center" vertical="center"/>
    </xf>
    <xf numFmtId="0" fontId="8" fillId="3" borderId="47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textRotation="90" wrapText="1"/>
    </xf>
    <xf numFmtId="0" fontId="15" fillId="5" borderId="2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 applyProtection="1">
      <alignment horizontal="justify" vertical="center" wrapText="1"/>
      <protection locked="0"/>
    </xf>
    <xf numFmtId="4" fontId="16" fillId="3" borderId="2" xfId="0" applyNumberFormat="1" applyFont="1" applyFill="1" applyBorder="1" applyAlignment="1" applyProtection="1">
      <alignment horizontal="center" vertical="center" wrapText="1"/>
      <protection locked="0"/>
    </xf>
    <xf numFmtId="164" fontId="16" fillId="3" borderId="2" xfId="5" applyFont="1" applyFill="1" applyBorder="1" applyAlignment="1" applyProtection="1">
      <alignment horizontal="center" vertical="center" wrapText="1"/>
      <protection locked="0"/>
    </xf>
    <xf numFmtId="0" fontId="16" fillId="3" borderId="2" xfId="0" applyFont="1" applyFill="1" applyBorder="1" applyAlignment="1" applyProtection="1">
      <alignment horizontal="center" vertical="center" wrapText="1"/>
      <protection locked="0"/>
    </xf>
    <xf numFmtId="0" fontId="15" fillId="6" borderId="2" xfId="0" applyFont="1" applyFill="1" applyBorder="1" applyAlignment="1" applyProtection="1">
      <alignment horizontal="left" vertical="center" wrapText="1"/>
      <protection locked="0"/>
    </xf>
    <xf numFmtId="0" fontId="16" fillId="6" borderId="2" xfId="0" applyFont="1" applyFill="1" applyBorder="1" applyAlignment="1" applyProtection="1">
      <alignment horizontal="center" vertical="center" wrapText="1"/>
      <protection locked="0"/>
    </xf>
    <xf numFmtId="0" fontId="16" fillId="6" borderId="2" xfId="0" applyFont="1" applyFill="1" applyBorder="1" applyAlignment="1" applyProtection="1">
      <alignment horizontal="right" vertical="center" wrapText="1"/>
      <protection locked="0"/>
    </xf>
    <xf numFmtId="164" fontId="16" fillId="6" borderId="2" xfId="5" applyFont="1" applyFill="1" applyBorder="1" applyAlignment="1" applyProtection="1">
      <alignment horizontal="center" vertical="center" wrapText="1"/>
      <protection locked="0"/>
    </xf>
    <xf numFmtId="0" fontId="17" fillId="4" borderId="2" xfId="0" applyFont="1" applyFill="1" applyBorder="1" applyAlignment="1" applyProtection="1">
      <alignment horizontal="justify" vertical="center" wrapText="1"/>
      <protection locked="0"/>
    </xf>
    <xf numFmtId="164" fontId="18" fillId="4" borderId="2" xfId="5" applyFont="1" applyFill="1" applyBorder="1" applyAlignment="1" applyProtection="1">
      <alignment horizontal="justify" vertical="center" wrapText="1"/>
      <protection locked="0"/>
    </xf>
    <xf numFmtId="0" fontId="16" fillId="8" borderId="2" xfId="0" applyFont="1" applyFill="1" applyBorder="1" applyAlignment="1" applyProtection="1">
      <alignment horizontal="justify" vertical="center" wrapText="1"/>
      <protection locked="0"/>
    </xf>
    <xf numFmtId="0" fontId="17" fillId="3" borderId="3" xfId="0" applyFont="1" applyFill="1" applyBorder="1" applyAlignment="1" applyProtection="1">
      <alignment horizontal="left" vertical="center" wrapText="1"/>
      <protection locked="0"/>
    </xf>
    <xf numFmtId="0" fontId="17" fillId="3" borderId="47" xfId="0" applyFont="1" applyFill="1" applyBorder="1" applyAlignment="1" applyProtection="1">
      <alignment horizontal="left" vertical="center" wrapText="1"/>
      <protection locked="0"/>
    </xf>
    <xf numFmtId="0" fontId="17" fillId="3" borderId="4" xfId="0" applyFont="1" applyFill="1" applyBorder="1" applyAlignment="1" applyProtection="1">
      <alignment horizontal="left" vertical="center" wrapText="1"/>
      <protection locked="0"/>
    </xf>
    <xf numFmtId="0" fontId="15" fillId="3" borderId="3" xfId="0" applyFont="1" applyFill="1" applyBorder="1" applyAlignment="1" applyProtection="1">
      <alignment horizontal="left" vertical="center" wrapText="1"/>
      <protection locked="0"/>
    </xf>
    <xf numFmtId="0" fontId="15" fillId="3" borderId="47" xfId="0" applyFont="1" applyFill="1" applyBorder="1" applyAlignment="1" applyProtection="1">
      <alignment horizontal="left" vertical="center" wrapText="1"/>
      <protection locked="0"/>
    </xf>
    <xf numFmtId="0" fontId="15" fillId="3" borderId="4" xfId="0" applyFont="1" applyFill="1" applyBorder="1" applyAlignment="1" applyProtection="1">
      <alignment horizontal="left" vertical="center" wrapText="1"/>
      <protection locked="0"/>
    </xf>
    <xf numFmtId="0" fontId="15" fillId="4" borderId="3" xfId="0" applyFont="1" applyFill="1" applyBorder="1" applyAlignment="1" applyProtection="1">
      <alignment horizontal="left" vertical="center" wrapText="1"/>
      <protection locked="0"/>
    </xf>
    <xf numFmtId="0" fontId="15" fillId="4" borderId="47" xfId="0" applyFont="1" applyFill="1" applyBorder="1" applyAlignment="1" applyProtection="1">
      <alignment horizontal="left" vertical="center" wrapText="1"/>
      <protection locked="0"/>
    </xf>
    <xf numFmtId="0" fontId="15" fillId="4" borderId="4" xfId="0" applyFont="1" applyFill="1" applyBorder="1" applyAlignment="1" applyProtection="1">
      <alignment horizontal="left" vertical="center" wrapText="1"/>
      <protection locked="0"/>
    </xf>
    <xf numFmtId="0" fontId="17" fillId="3" borderId="2" xfId="0" applyFont="1" applyFill="1" applyBorder="1" applyAlignment="1" applyProtection="1">
      <alignment horizontal="justify" vertical="center" wrapText="1"/>
      <protection locked="0"/>
    </xf>
    <xf numFmtId="0" fontId="15" fillId="3" borderId="2" xfId="0" applyFont="1" applyFill="1" applyBorder="1" applyAlignment="1" applyProtection="1">
      <alignment horizontal="justify" vertical="center" wrapText="1"/>
      <protection locked="0"/>
    </xf>
    <xf numFmtId="4" fontId="15" fillId="3" borderId="2" xfId="0" applyNumberFormat="1" applyFont="1" applyFill="1" applyBorder="1" applyAlignment="1" applyProtection="1">
      <alignment horizontal="center" vertical="center" wrapText="1"/>
      <protection locked="0"/>
    </xf>
    <xf numFmtId="164" fontId="15" fillId="3" borderId="2" xfId="5" applyFont="1" applyFill="1" applyBorder="1" applyAlignment="1" applyProtection="1">
      <alignment horizontal="center" vertical="center" wrapText="1"/>
      <protection locked="0"/>
    </xf>
    <xf numFmtId="4" fontId="18" fillId="3" borderId="44" xfId="0" applyNumberFormat="1" applyFont="1" applyFill="1" applyBorder="1" applyAlignment="1" applyProtection="1">
      <alignment horizontal="center" vertical="center" wrapText="1"/>
      <protection locked="0"/>
    </xf>
    <xf numFmtId="4" fontId="18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center" wrapText="1"/>
    </xf>
    <xf numFmtId="0" fontId="19" fillId="0" borderId="86" xfId="0" applyFont="1" applyBorder="1" applyAlignment="1">
      <alignment horizontal="center" wrapText="1"/>
    </xf>
    <xf numFmtId="0" fontId="19" fillId="0" borderId="1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6" fillId="3" borderId="5" xfId="0" applyFont="1" applyFill="1" applyBorder="1" applyAlignment="1" applyProtection="1">
      <alignment horizontal="justify" vertical="center" wrapText="1"/>
      <protection locked="0"/>
    </xf>
    <xf numFmtId="0" fontId="18" fillId="3" borderId="5" xfId="0" applyFont="1" applyFill="1" applyBorder="1" applyAlignment="1" applyProtection="1">
      <alignment horizontal="justify" vertical="center" wrapText="1"/>
      <protection locked="0"/>
    </xf>
    <xf numFmtId="164" fontId="18" fillId="3" borderId="5" xfId="5" applyFont="1" applyFill="1" applyBorder="1" applyAlignment="1" applyProtection="1">
      <alignment horizontal="center" vertical="center" wrapText="1"/>
      <protection locked="0"/>
    </xf>
    <xf numFmtId="164" fontId="18" fillId="3" borderId="2" xfId="5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88" xfId="0" applyFont="1" applyFill="1" applyBorder="1" applyAlignment="1">
      <alignment horizontal="center" vertical="center"/>
    </xf>
    <xf numFmtId="0" fontId="2" fillId="3" borderId="89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0" fontId="2" fillId="3" borderId="90" xfId="0" applyFont="1" applyFill="1" applyBorder="1" applyAlignment="1">
      <alignment horizontal="center" vertical="center"/>
    </xf>
    <xf numFmtId="169" fontId="2" fillId="3" borderId="29" xfId="0" applyNumberFormat="1" applyFont="1" applyFill="1" applyBorder="1" applyAlignment="1">
      <alignment horizontal="center" vertical="center"/>
    </xf>
    <xf numFmtId="169" fontId="2" fillId="3" borderId="30" xfId="0" applyNumberFormat="1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/>
    </xf>
    <xf numFmtId="0" fontId="7" fillId="3" borderId="51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88" xfId="0" applyFont="1" applyFill="1" applyBorder="1" applyAlignment="1">
      <alignment horizontal="center" vertical="center"/>
    </xf>
    <xf numFmtId="0" fontId="7" fillId="3" borderId="89" xfId="0" applyFont="1" applyFill="1" applyBorder="1" applyAlignment="1">
      <alignment horizontal="center" vertical="center"/>
    </xf>
    <xf numFmtId="0" fontId="9" fillId="3" borderId="6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left" vertical="center"/>
    </xf>
    <xf numFmtId="0" fontId="8" fillId="3" borderId="14" xfId="0" applyFont="1" applyFill="1" applyBorder="1" applyAlignment="1">
      <alignment horizontal="left" vertical="center"/>
    </xf>
    <xf numFmtId="0" fontId="8" fillId="3" borderId="15" xfId="0" applyFont="1" applyFill="1" applyBorder="1" applyAlignment="1">
      <alignment horizontal="left" vertical="center"/>
    </xf>
    <xf numFmtId="0" fontId="8" fillId="3" borderId="16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8" fillId="3" borderId="17" xfId="0" applyFont="1" applyFill="1" applyBorder="1" applyAlignment="1">
      <alignment horizontal="left" vertical="center"/>
    </xf>
    <xf numFmtId="0" fontId="8" fillId="3" borderId="30" xfId="0" applyFont="1" applyFill="1" applyBorder="1" applyAlignment="1">
      <alignment vertical="center"/>
    </xf>
    <xf numFmtId="0" fontId="8" fillId="3" borderId="14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3" borderId="20" xfId="0" applyFont="1" applyFill="1" applyBorder="1" applyAlignment="1">
      <alignment vertical="center"/>
    </xf>
    <xf numFmtId="0" fontId="8" fillId="3" borderId="55" xfId="0" applyFont="1" applyFill="1" applyBorder="1" applyAlignment="1">
      <alignment horizontal="left" vertical="center"/>
    </xf>
    <xf numFmtId="0" fontId="8" fillId="3" borderId="56" xfId="0" applyFont="1" applyFill="1" applyBorder="1" applyAlignment="1">
      <alignment horizontal="left" vertical="center"/>
    </xf>
  </cellXfs>
  <cellStyles count="6">
    <cellStyle name="Normal" xfId="0" builtinId="0"/>
    <cellStyle name="Normal 3" xfId="1"/>
    <cellStyle name="Porcentagem" xfId="2" builtinId="5"/>
    <cellStyle name="Separador de milhares" xfId="4" builtinId="3"/>
    <cellStyle name="Separador de milhares 5" xfId="3"/>
    <cellStyle name="Vírgula 2" xfId="5"/>
  </cellStyles>
  <dxfs count="0"/>
  <tableStyles count="0" defaultTableStyle="TableStyleMedium9" defaultPivotStyle="PivotStyleLight16"/>
  <colors>
    <mruColors>
      <color rgb="FFFACD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119062</xdr:colOff>
      <xdr:row>0</xdr:row>
      <xdr:rowOff>59531</xdr:rowOff>
    </xdr:from>
    <xdr:to>
      <xdr:col>1</xdr:col>
      <xdr:colOff>952499</xdr:colOff>
      <xdr:row>2</xdr:row>
      <xdr:rowOff>142876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11382" t="4379" r="68531" b="90531"/>
        <a:stretch/>
      </xdr:blipFill>
      <xdr:spPr>
        <a:xfrm>
          <a:off x="119062" y="59531"/>
          <a:ext cx="1476375" cy="4643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164118</xdr:colOff>
      <xdr:row>2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2FC1609A-3171-4B2D-AEEB-9F3FE0FB02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11382" t="4379" r="68531" b="90531"/>
        <a:stretch/>
      </xdr:blipFill>
      <xdr:spPr>
        <a:xfrm>
          <a:off x="0" y="0"/>
          <a:ext cx="1992918" cy="647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35720</xdr:colOff>
      <xdr:row>0</xdr:row>
      <xdr:rowOff>35719</xdr:rowOff>
    </xdr:from>
    <xdr:to>
      <xdr:col>1</xdr:col>
      <xdr:colOff>745332</xdr:colOff>
      <xdr:row>2</xdr:row>
      <xdr:rowOff>123827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1382" t="4379" r="68531" b="90531"/>
        <a:stretch/>
      </xdr:blipFill>
      <xdr:spPr>
        <a:xfrm>
          <a:off x="35720" y="35719"/>
          <a:ext cx="1433512" cy="4691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7"/>
  <sheetViews>
    <sheetView topLeftCell="B1" workbookViewId="0">
      <selection activeCell="D22" sqref="D22"/>
    </sheetView>
  </sheetViews>
  <sheetFormatPr defaultRowHeight="12.75"/>
  <cols>
    <col min="1" max="1" width="6.42578125" customWidth="1"/>
    <col min="2" max="2" width="25.42578125" customWidth="1"/>
    <col min="3" max="3" width="8.7109375" customWidth="1"/>
    <col min="4" max="4" width="6.28515625" customWidth="1"/>
    <col min="5" max="5" width="6.85546875" customWidth="1"/>
    <col min="6" max="6" width="3.85546875" customWidth="1"/>
    <col min="7" max="7" width="3.7109375" customWidth="1"/>
    <col min="8" max="8" width="11.140625" customWidth="1"/>
    <col min="9" max="9" width="6.140625" customWidth="1"/>
    <col min="10" max="10" width="4" customWidth="1"/>
    <col min="11" max="11" width="7.42578125" customWidth="1"/>
    <col min="12" max="12" width="9.5703125" customWidth="1"/>
    <col min="13" max="13" width="10.140625" customWidth="1"/>
    <col min="14" max="14" width="3.7109375" customWidth="1"/>
    <col min="15" max="15" width="7.28515625" customWidth="1"/>
    <col min="16" max="16" width="8.42578125" customWidth="1"/>
    <col min="17" max="18" width="9.140625" customWidth="1"/>
    <col min="19" max="19" width="16.85546875" customWidth="1"/>
    <col min="20" max="20" width="9.5703125" customWidth="1"/>
    <col min="21" max="21" width="16" customWidth="1"/>
    <col min="25" max="34" width="9.140625" customWidth="1"/>
  </cols>
  <sheetData>
    <row r="1" spans="1:23" ht="13.5" thickBot="1">
      <c r="A1" s="45"/>
      <c r="B1" s="216" t="s">
        <v>142</v>
      </c>
      <c r="C1" s="216"/>
      <c r="D1" s="216"/>
      <c r="E1" s="216"/>
      <c r="F1" s="216"/>
      <c r="G1" s="216"/>
      <c r="H1" s="216"/>
      <c r="I1" s="94"/>
      <c r="J1" s="94"/>
      <c r="K1" s="94"/>
      <c r="L1" s="94"/>
      <c r="M1" s="95"/>
      <c r="N1" s="95"/>
      <c r="O1" s="95"/>
      <c r="P1" s="95"/>
      <c r="Q1" s="95"/>
      <c r="R1" s="96"/>
      <c r="S1" s="96"/>
      <c r="T1" s="97" t="s">
        <v>66</v>
      </c>
      <c r="U1" s="98">
        <v>43484</v>
      </c>
    </row>
    <row r="2" spans="1:23" ht="13.5" thickBot="1">
      <c r="A2" s="46"/>
      <c r="B2" s="76"/>
      <c r="C2" s="221" t="s">
        <v>51</v>
      </c>
      <c r="D2" s="222"/>
      <c r="E2" s="222"/>
      <c r="F2" s="222"/>
      <c r="G2" s="222"/>
      <c r="H2" s="222"/>
      <c r="I2" s="222"/>
      <c r="J2" s="223"/>
      <c r="K2" s="223"/>
      <c r="L2" s="224"/>
      <c r="M2" s="225" t="s">
        <v>67</v>
      </c>
      <c r="N2" s="226"/>
      <c r="O2" s="226"/>
      <c r="P2" s="226"/>
      <c r="Q2" s="227"/>
      <c r="R2" s="221" t="s">
        <v>68</v>
      </c>
      <c r="S2" s="224"/>
      <c r="T2" s="228" t="s">
        <v>145</v>
      </c>
      <c r="U2" s="224"/>
    </row>
    <row r="3" spans="1:23" ht="34.5" thickBot="1">
      <c r="A3" s="47" t="s">
        <v>0</v>
      </c>
      <c r="B3" s="99" t="s">
        <v>69</v>
      </c>
      <c r="C3" s="100" t="s">
        <v>70</v>
      </c>
      <c r="D3" s="101" t="s">
        <v>71</v>
      </c>
      <c r="E3" s="229" t="s">
        <v>72</v>
      </c>
      <c r="F3" s="230"/>
      <c r="G3" s="231"/>
      <c r="H3" s="102" t="s">
        <v>73</v>
      </c>
      <c r="I3" s="232" t="s">
        <v>74</v>
      </c>
      <c r="J3" s="233"/>
      <c r="K3" s="234"/>
      <c r="L3" s="103" t="s">
        <v>75</v>
      </c>
      <c r="M3" s="104" t="str">
        <f>C3</f>
        <v>Comprim. (m)</v>
      </c>
      <c r="N3" s="105" t="s">
        <v>119</v>
      </c>
      <c r="O3" s="105" t="s">
        <v>71</v>
      </c>
      <c r="P3" s="106" t="s">
        <v>76</v>
      </c>
      <c r="Q3" s="107" t="s">
        <v>77</v>
      </c>
      <c r="R3" s="104" t="s">
        <v>143</v>
      </c>
      <c r="S3" s="108" t="s">
        <v>78</v>
      </c>
      <c r="T3" s="109" t="s">
        <v>144</v>
      </c>
      <c r="U3" s="108" t="s">
        <v>79</v>
      </c>
    </row>
    <row r="4" spans="1:23">
      <c r="A4" s="48">
        <v>1</v>
      </c>
      <c r="B4" s="110" t="s">
        <v>80</v>
      </c>
      <c r="C4" s="111"/>
      <c r="D4" s="112"/>
      <c r="E4" s="111"/>
      <c r="F4" s="113"/>
      <c r="G4" s="114"/>
      <c r="H4" s="115"/>
      <c r="I4" s="116"/>
      <c r="J4" s="117"/>
      <c r="K4" s="118"/>
      <c r="L4" s="119"/>
      <c r="M4" s="120"/>
      <c r="N4" s="117"/>
      <c r="O4" s="117"/>
      <c r="P4" s="121"/>
      <c r="Q4" s="122"/>
      <c r="R4" s="120"/>
      <c r="S4" s="122"/>
      <c r="T4" s="123"/>
      <c r="U4" s="122"/>
      <c r="V4" s="49"/>
      <c r="W4" s="49"/>
    </row>
    <row r="5" spans="1:23">
      <c r="A5" s="91" t="s">
        <v>48</v>
      </c>
      <c r="B5" s="66" t="s">
        <v>107</v>
      </c>
      <c r="C5" s="87">
        <v>100</v>
      </c>
      <c r="D5" s="81">
        <v>7</v>
      </c>
      <c r="E5" s="80">
        <f>C5</f>
        <v>100</v>
      </c>
      <c r="F5" s="82" t="s">
        <v>81</v>
      </c>
      <c r="G5" s="83">
        <f>D5</f>
        <v>7</v>
      </c>
      <c r="H5" s="84">
        <f>E5*D5</f>
        <v>700</v>
      </c>
      <c r="I5" s="85">
        <f>C5</f>
        <v>100</v>
      </c>
      <c r="J5" s="82" t="str">
        <f>F5</f>
        <v>x</v>
      </c>
      <c r="K5" s="83">
        <f>D5-0.6</f>
        <v>6.4</v>
      </c>
      <c r="L5" s="86">
        <f>C5*(D5-0.6)</f>
        <v>640</v>
      </c>
      <c r="M5" s="87">
        <v>200</v>
      </c>
      <c r="N5" s="82" t="s">
        <v>81</v>
      </c>
      <c r="O5" s="88">
        <v>1.5</v>
      </c>
      <c r="P5" s="81">
        <f>M5*O5</f>
        <v>300</v>
      </c>
      <c r="Q5" s="67">
        <f>P5*0.07</f>
        <v>21.000000000000004</v>
      </c>
      <c r="R5" s="87">
        <v>200</v>
      </c>
      <c r="S5" s="89" t="s">
        <v>134</v>
      </c>
      <c r="T5" s="90">
        <f t="shared" ref="T5:U11" si="0">R5</f>
        <v>200</v>
      </c>
      <c r="U5" s="89" t="str">
        <f t="shared" si="0"/>
        <v>100*2</v>
      </c>
      <c r="V5" s="49"/>
      <c r="W5" s="49"/>
    </row>
    <row r="6" spans="1:23">
      <c r="A6" s="65" t="s">
        <v>82</v>
      </c>
      <c r="B6" s="66" t="s">
        <v>88</v>
      </c>
      <c r="C6" s="80">
        <v>140</v>
      </c>
      <c r="D6" s="81">
        <v>6.6</v>
      </c>
      <c r="E6" s="80">
        <f t="shared" ref="E6:E15" si="1">C6</f>
        <v>140</v>
      </c>
      <c r="F6" s="82" t="s">
        <v>81</v>
      </c>
      <c r="G6" s="83">
        <f>D6</f>
        <v>6.6</v>
      </c>
      <c r="H6" s="84">
        <f>E6*D6</f>
        <v>924</v>
      </c>
      <c r="I6" s="85">
        <f>C6</f>
        <v>140</v>
      </c>
      <c r="J6" s="82" t="str">
        <f>F6</f>
        <v>x</v>
      </c>
      <c r="K6" s="83">
        <f>D6-0.6</f>
        <v>6</v>
      </c>
      <c r="L6" s="86">
        <f>C6*(D6-0.6)</f>
        <v>840</v>
      </c>
      <c r="M6" s="87">
        <v>280</v>
      </c>
      <c r="N6" s="82" t="s">
        <v>81</v>
      </c>
      <c r="O6" s="88">
        <v>1.5</v>
      </c>
      <c r="P6" s="81">
        <f t="shared" ref="P6:P16" si="2">M6*O6</f>
        <v>420</v>
      </c>
      <c r="Q6" s="67">
        <f t="shared" ref="Q6:Q16" si="3">P6*0.07</f>
        <v>29.400000000000002</v>
      </c>
      <c r="R6" s="80">
        <f>(C6)*2</f>
        <v>280</v>
      </c>
      <c r="S6" s="89" t="s">
        <v>120</v>
      </c>
      <c r="T6" s="90">
        <f t="shared" si="0"/>
        <v>280</v>
      </c>
      <c r="U6" s="89" t="str">
        <f t="shared" si="0"/>
        <v>140*2</v>
      </c>
      <c r="V6" s="49"/>
      <c r="W6" s="49"/>
    </row>
    <row r="7" spans="1:23">
      <c r="A7" s="91" t="s">
        <v>83</v>
      </c>
      <c r="B7" s="66" t="s">
        <v>116</v>
      </c>
      <c r="C7" s="80">
        <v>342</v>
      </c>
      <c r="D7" s="81">
        <v>6.6</v>
      </c>
      <c r="E7" s="80">
        <f t="shared" si="1"/>
        <v>342</v>
      </c>
      <c r="F7" s="82" t="s">
        <v>81</v>
      </c>
      <c r="G7" s="83">
        <f>D7</f>
        <v>6.6</v>
      </c>
      <c r="H7" s="84">
        <f>E7*D7</f>
        <v>2257.1999999999998</v>
      </c>
      <c r="I7" s="85">
        <f>C7</f>
        <v>342</v>
      </c>
      <c r="J7" s="82" t="str">
        <f>F7</f>
        <v>x</v>
      </c>
      <c r="K7" s="83">
        <f>D7-0.6</f>
        <v>6</v>
      </c>
      <c r="L7" s="86">
        <f>C7*(D7-0.6)+(5*6*2)</f>
        <v>2112</v>
      </c>
      <c r="M7" s="87">
        <f>684-(7*6)</f>
        <v>642</v>
      </c>
      <c r="N7" s="82" t="s">
        <v>81</v>
      </c>
      <c r="O7" s="88">
        <v>1.5</v>
      </c>
      <c r="P7" s="81">
        <f t="shared" si="2"/>
        <v>963</v>
      </c>
      <c r="Q7" s="67">
        <f t="shared" si="3"/>
        <v>67.410000000000011</v>
      </c>
      <c r="R7" s="80">
        <f>(342*2)-(7*6)+(2*5)</f>
        <v>652</v>
      </c>
      <c r="S7" s="80" t="s">
        <v>147</v>
      </c>
      <c r="T7" s="90">
        <f>(342*2)-(6*7)+(2*5)</f>
        <v>652</v>
      </c>
      <c r="U7" s="90" t="s">
        <v>151</v>
      </c>
      <c r="V7" s="49"/>
      <c r="W7" s="49"/>
    </row>
    <row r="8" spans="1:23">
      <c r="A8" s="65" t="s">
        <v>85</v>
      </c>
      <c r="B8" s="66" t="s">
        <v>115</v>
      </c>
      <c r="C8" s="80">
        <v>110</v>
      </c>
      <c r="D8" s="81">
        <v>6.6</v>
      </c>
      <c r="E8" s="80">
        <f t="shared" si="1"/>
        <v>110</v>
      </c>
      <c r="F8" s="82" t="s">
        <v>81</v>
      </c>
      <c r="G8" s="83">
        <f>D8</f>
        <v>6.6</v>
      </c>
      <c r="H8" s="84">
        <f>E8*D8</f>
        <v>726</v>
      </c>
      <c r="I8" s="85">
        <f>C8</f>
        <v>110</v>
      </c>
      <c r="J8" s="82" t="str">
        <f>F8</f>
        <v>x</v>
      </c>
      <c r="K8" s="83">
        <f>D8-0.6</f>
        <v>6</v>
      </c>
      <c r="L8" s="86">
        <f>C8*(D8-0.6)</f>
        <v>660</v>
      </c>
      <c r="M8" s="87">
        <f>110*2</f>
        <v>220</v>
      </c>
      <c r="N8" s="82" t="s">
        <v>81</v>
      </c>
      <c r="O8" s="88">
        <v>1.5</v>
      </c>
      <c r="P8" s="81">
        <f t="shared" si="2"/>
        <v>330</v>
      </c>
      <c r="Q8" s="67">
        <f t="shared" si="3"/>
        <v>23.1</v>
      </c>
      <c r="R8" s="80">
        <f>(C8)*2</f>
        <v>220</v>
      </c>
      <c r="S8" s="89" t="s">
        <v>135</v>
      </c>
      <c r="T8" s="90">
        <f>110*2</f>
        <v>220</v>
      </c>
      <c r="U8" s="89">
        <f>110*2</f>
        <v>220</v>
      </c>
      <c r="V8" s="49"/>
      <c r="W8" s="49"/>
    </row>
    <row r="9" spans="1:23">
      <c r="A9" s="91" t="s">
        <v>87</v>
      </c>
      <c r="B9" s="66" t="s">
        <v>86</v>
      </c>
      <c r="C9" s="80">
        <v>86</v>
      </c>
      <c r="D9" s="81">
        <v>6.6</v>
      </c>
      <c r="E9" s="80">
        <f t="shared" si="1"/>
        <v>86</v>
      </c>
      <c r="F9" s="82" t="s">
        <v>81</v>
      </c>
      <c r="G9" s="83">
        <f t="shared" ref="G9:G11" si="4">D9</f>
        <v>6.6</v>
      </c>
      <c r="H9" s="84">
        <f t="shared" ref="H9:H11" si="5">E9*D9</f>
        <v>567.6</v>
      </c>
      <c r="I9" s="85">
        <f t="shared" ref="I9:I11" si="6">C9</f>
        <v>86</v>
      </c>
      <c r="J9" s="82" t="str">
        <f t="shared" ref="J9:J11" si="7">F9</f>
        <v>x</v>
      </c>
      <c r="K9" s="83">
        <f t="shared" ref="K9:K11" si="8">D9-0.6</f>
        <v>6</v>
      </c>
      <c r="L9" s="86">
        <f t="shared" ref="L9:L11" si="9">C9*(D9-0.6)</f>
        <v>516</v>
      </c>
      <c r="M9" s="87">
        <f>86*2</f>
        <v>172</v>
      </c>
      <c r="N9" s="82" t="s">
        <v>81</v>
      </c>
      <c r="O9" s="88">
        <v>1.5</v>
      </c>
      <c r="P9" s="81">
        <f t="shared" si="2"/>
        <v>258</v>
      </c>
      <c r="Q9" s="67">
        <f t="shared" si="3"/>
        <v>18.060000000000002</v>
      </c>
      <c r="R9" s="80">
        <f t="shared" ref="R9:R11" si="10">(C9)*2</f>
        <v>172</v>
      </c>
      <c r="S9" s="89" t="s">
        <v>152</v>
      </c>
      <c r="T9" s="90">
        <f>86*2</f>
        <v>172</v>
      </c>
      <c r="U9" s="89" t="s">
        <v>152</v>
      </c>
    </row>
    <row r="10" spans="1:23">
      <c r="A10" s="65" t="s">
        <v>109</v>
      </c>
      <c r="B10" s="66" t="s">
        <v>84</v>
      </c>
      <c r="C10" s="80">
        <v>345</v>
      </c>
      <c r="D10" s="81">
        <v>7</v>
      </c>
      <c r="E10" s="80">
        <f t="shared" si="1"/>
        <v>345</v>
      </c>
      <c r="F10" s="82" t="s">
        <v>81</v>
      </c>
      <c r="G10" s="83">
        <f t="shared" si="4"/>
        <v>7</v>
      </c>
      <c r="H10" s="84">
        <f t="shared" si="5"/>
        <v>2415</v>
      </c>
      <c r="I10" s="85">
        <f t="shared" si="6"/>
        <v>345</v>
      </c>
      <c r="J10" s="82" t="str">
        <f t="shared" si="7"/>
        <v>x</v>
      </c>
      <c r="K10" s="83">
        <f t="shared" si="8"/>
        <v>6.4</v>
      </c>
      <c r="L10" s="86">
        <f>C10*(D10-0.6)+(6*6*2)</f>
        <v>2280</v>
      </c>
      <c r="M10" s="87">
        <f>690-(6*6)</f>
        <v>654</v>
      </c>
      <c r="N10" s="82" t="s">
        <v>81</v>
      </c>
      <c r="O10" s="88">
        <v>1.5</v>
      </c>
      <c r="P10" s="81">
        <f t="shared" si="2"/>
        <v>981</v>
      </c>
      <c r="Q10" s="67">
        <f t="shared" si="3"/>
        <v>68.67</v>
      </c>
      <c r="R10" s="80">
        <f>(345*2)-(6*6)+(12*2)</f>
        <v>678</v>
      </c>
      <c r="S10" s="87" t="s">
        <v>146</v>
      </c>
      <c r="T10" s="90">
        <f>345*2-(6*6)+(12*2)</f>
        <v>678</v>
      </c>
      <c r="U10" s="89" t="s">
        <v>146</v>
      </c>
    </row>
    <row r="11" spans="1:23">
      <c r="A11" s="91" t="s">
        <v>110</v>
      </c>
      <c r="B11" s="66" t="s">
        <v>136</v>
      </c>
      <c r="C11" s="80">
        <v>110</v>
      </c>
      <c r="D11" s="81">
        <v>7.6</v>
      </c>
      <c r="E11" s="80">
        <f t="shared" si="1"/>
        <v>110</v>
      </c>
      <c r="F11" s="82" t="s">
        <v>81</v>
      </c>
      <c r="G11" s="83">
        <f t="shared" si="4"/>
        <v>7.6</v>
      </c>
      <c r="H11" s="84">
        <f t="shared" si="5"/>
        <v>836</v>
      </c>
      <c r="I11" s="85">
        <f t="shared" si="6"/>
        <v>110</v>
      </c>
      <c r="J11" s="82" t="str">
        <f t="shared" si="7"/>
        <v>x</v>
      </c>
      <c r="K11" s="83">
        <f t="shared" si="8"/>
        <v>7</v>
      </c>
      <c r="L11" s="86">
        <f t="shared" si="9"/>
        <v>770</v>
      </c>
      <c r="M11" s="87">
        <v>220</v>
      </c>
      <c r="N11" s="82" t="s">
        <v>81</v>
      </c>
      <c r="O11" s="88">
        <v>1.5</v>
      </c>
      <c r="P11" s="81">
        <f t="shared" si="2"/>
        <v>330</v>
      </c>
      <c r="Q11" s="67">
        <f t="shared" si="3"/>
        <v>23.1</v>
      </c>
      <c r="R11" s="80">
        <f t="shared" si="10"/>
        <v>220</v>
      </c>
      <c r="S11" s="89" t="s">
        <v>135</v>
      </c>
      <c r="T11" s="90">
        <f>110*2</f>
        <v>220</v>
      </c>
      <c r="U11" s="89" t="str">
        <f t="shared" si="0"/>
        <v>110*2</v>
      </c>
      <c r="V11" s="49"/>
      <c r="W11" s="49"/>
    </row>
    <row r="12" spans="1:23">
      <c r="A12" s="65" t="s">
        <v>111</v>
      </c>
      <c r="B12" s="66" t="s">
        <v>137</v>
      </c>
      <c r="C12" s="80">
        <v>90</v>
      </c>
      <c r="D12" s="81">
        <v>7.6</v>
      </c>
      <c r="E12" s="80">
        <f t="shared" si="1"/>
        <v>90</v>
      </c>
      <c r="F12" s="82" t="s">
        <v>81</v>
      </c>
      <c r="G12" s="83">
        <f t="shared" ref="G12" si="11">D12</f>
        <v>7.6</v>
      </c>
      <c r="H12" s="84">
        <f t="shared" ref="H12" si="12">E12*D12</f>
        <v>684</v>
      </c>
      <c r="I12" s="85">
        <f t="shared" ref="I12" si="13">C12</f>
        <v>90</v>
      </c>
      <c r="J12" s="82" t="str">
        <f t="shared" ref="J12:J16" si="14">F12</f>
        <v>x</v>
      </c>
      <c r="K12" s="83">
        <f t="shared" ref="K12" si="15">D12-0.6</f>
        <v>7</v>
      </c>
      <c r="L12" s="86">
        <f t="shared" ref="L12" si="16">C12*(D12-0.6)</f>
        <v>630</v>
      </c>
      <c r="M12" s="87">
        <v>180</v>
      </c>
      <c r="N12" s="82" t="s">
        <v>81</v>
      </c>
      <c r="O12" s="88">
        <v>1.5</v>
      </c>
      <c r="P12" s="81">
        <f t="shared" ref="P12" si="17">M12*O12</f>
        <v>270</v>
      </c>
      <c r="Q12" s="67">
        <f t="shared" ref="Q12" si="18">P12*0.07</f>
        <v>18.900000000000002</v>
      </c>
      <c r="R12" s="87">
        <f>90*2</f>
        <v>180</v>
      </c>
      <c r="S12" s="87" t="s">
        <v>138</v>
      </c>
      <c r="T12" s="90">
        <f>90*2</f>
        <v>180</v>
      </c>
      <c r="U12" s="89" t="str">
        <f t="shared" ref="U12" si="19">S12</f>
        <v>90*2</v>
      </c>
      <c r="V12" s="49"/>
      <c r="W12" s="49"/>
    </row>
    <row r="13" spans="1:23">
      <c r="A13" s="91" t="s">
        <v>112</v>
      </c>
      <c r="B13" s="68" t="s">
        <v>108</v>
      </c>
      <c r="C13" s="69">
        <v>107</v>
      </c>
      <c r="D13" s="70">
        <v>6.9</v>
      </c>
      <c r="E13" s="71">
        <f t="shared" si="1"/>
        <v>107</v>
      </c>
      <c r="F13" s="82" t="s">
        <v>81</v>
      </c>
      <c r="G13" s="83">
        <f t="shared" ref="G13:G16" si="20">D13</f>
        <v>6.9</v>
      </c>
      <c r="H13" s="84">
        <f t="shared" ref="H13:H16" si="21">E13*D13</f>
        <v>738.30000000000007</v>
      </c>
      <c r="I13" s="85">
        <f t="shared" ref="I13:I16" si="22">C13</f>
        <v>107</v>
      </c>
      <c r="J13" s="82" t="str">
        <f t="shared" si="14"/>
        <v>x</v>
      </c>
      <c r="K13" s="83">
        <f t="shared" ref="K13:K16" si="23">D13-0.6</f>
        <v>6.3000000000000007</v>
      </c>
      <c r="L13" s="86">
        <f t="shared" ref="L13:L16" si="24">C13*(D13-0.6)</f>
        <v>674.1</v>
      </c>
      <c r="M13" s="87">
        <v>214</v>
      </c>
      <c r="N13" s="82" t="s">
        <v>81</v>
      </c>
      <c r="O13" s="88">
        <v>1.5</v>
      </c>
      <c r="P13" s="81">
        <f t="shared" si="2"/>
        <v>321</v>
      </c>
      <c r="Q13" s="67">
        <f t="shared" si="3"/>
        <v>22.470000000000002</v>
      </c>
      <c r="R13" s="80">
        <f>107*2</f>
        <v>214</v>
      </c>
      <c r="S13" s="80" t="s">
        <v>148</v>
      </c>
      <c r="T13" s="90">
        <f>107*2</f>
        <v>214</v>
      </c>
      <c r="U13" s="89" t="s">
        <v>148</v>
      </c>
      <c r="V13" s="49"/>
      <c r="W13" s="49"/>
    </row>
    <row r="14" spans="1:23">
      <c r="A14" s="65" t="s">
        <v>117</v>
      </c>
      <c r="B14" s="68" t="s">
        <v>113</v>
      </c>
      <c r="C14" s="69">
        <v>93</v>
      </c>
      <c r="D14" s="70">
        <v>6.6</v>
      </c>
      <c r="E14" s="71">
        <f t="shared" si="1"/>
        <v>93</v>
      </c>
      <c r="F14" s="82" t="s">
        <v>81</v>
      </c>
      <c r="G14" s="83">
        <f t="shared" si="20"/>
        <v>6.6</v>
      </c>
      <c r="H14" s="84">
        <f t="shared" si="21"/>
        <v>613.79999999999995</v>
      </c>
      <c r="I14" s="85">
        <f t="shared" si="22"/>
        <v>93</v>
      </c>
      <c r="J14" s="82" t="str">
        <f t="shared" si="14"/>
        <v>x</v>
      </c>
      <c r="K14" s="83">
        <f t="shared" si="23"/>
        <v>6</v>
      </c>
      <c r="L14" s="86">
        <f t="shared" si="24"/>
        <v>558</v>
      </c>
      <c r="M14" s="87">
        <v>186</v>
      </c>
      <c r="N14" s="82" t="s">
        <v>81</v>
      </c>
      <c r="O14" s="88">
        <v>1.5</v>
      </c>
      <c r="P14" s="81">
        <f t="shared" si="2"/>
        <v>279</v>
      </c>
      <c r="Q14" s="67">
        <f t="shared" si="3"/>
        <v>19.53</v>
      </c>
      <c r="R14" s="80">
        <f>93*2</f>
        <v>186</v>
      </c>
      <c r="S14" s="72" t="s">
        <v>139</v>
      </c>
      <c r="T14" s="90">
        <f>93*2</f>
        <v>186</v>
      </c>
      <c r="U14" s="89" t="str">
        <f t="shared" ref="U14" si="25">S14</f>
        <v>93*2</v>
      </c>
      <c r="V14" s="49"/>
      <c r="W14" s="49"/>
    </row>
    <row r="15" spans="1:23">
      <c r="A15" s="91" t="s">
        <v>118</v>
      </c>
      <c r="B15" s="68" t="s">
        <v>114</v>
      </c>
      <c r="C15" s="69">
        <v>232</v>
      </c>
      <c r="D15" s="70">
        <v>8</v>
      </c>
      <c r="E15" s="71">
        <f t="shared" si="1"/>
        <v>232</v>
      </c>
      <c r="F15" s="82" t="s">
        <v>81</v>
      </c>
      <c r="G15" s="83">
        <f t="shared" si="20"/>
        <v>8</v>
      </c>
      <c r="H15" s="84">
        <f t="shared" si="21"/>
        <v>1856</v>
      </c>
      <c r="I15" s="85">
        <f t="shared" si="22"/>
        <v>232</v>
      </c>
      <c r="J15" s="82" t="str">
        <f t="shared" si="14"/>
        <v>x</v>
      </c>
      <c r="K15" s="83">
        <f t="shared" si="23"/>
        <v>7.4</v>
      </c>
      <c r="L15" s="86">
        <f t="shared" si="24"/>
        <v>1716.8000000000002</v>
      </c>
      <c r="M15" s="87">
        <f>464-(4*6)</f>
        <v>440</v>
      </c>
      <c r="N15" s="82" t="s">
        <v>81</v>
      </c>
      <c r="O15" s="88">
        <v>1.5</v>
      </c>
      <c r="P15" s="81">
        <f t="shared" si="2"/>
        <v>660</v>
      </c>
      <c r="Q15" s="67">
        <f t="shared" si="3"/>
        <v>46.2</v>
      </c>
      <c r="R15" s="80">
        <f>(232)*2-(4*7)+(13*6)</f>
        <v>514</v>
      </c>
      <c r="S15" s="87" t="s">
        <v>149</v>
      </c>
      <c r="T15" s="90">
        <f>(232*2)-(4*7)</f>
        <v>436</v>
      </c>
      <c r="U15" s="89" t="s">
        <v>153</v>
      </c>
      <c r="V15" s="49"/>
      <c r="W15" s="49"/>
    </row>
    <row r="16" spans="1:23">
      <c r="A16" s="91" t="s">
        <v>141</v>
      </c>
      <c r="B16" s="68" t="s">
        <v>140</v>
      </c>
      <c r="C16" s="69">
        <v>119</v>
      </c>
      <c r="D16" s="70">
        <v>6.6</v>
      </c>
      <c r="E16" s="71">
        <v>119</v>
      </c>
      <c r="F16" s="82" t="s">
        <v>81</v>
      </c>
      <c r="G16" s="83">
        <f t="shared" si="20"/>
        <v>6.6</v>
      </c>
      <c r="H16" s="84">
        <f t="shared" si="21"/>
        <v>785.4</v>
      </c>
      <c r="I16" s="85">
        <f t="shared" si="22"/>
        <v>119</v>
      </c>
      <c r="J16" s="82" t="str">
        <f t="shared" si="14"/>
        <v>x</v>
      </c>
      <c r="K16" s="73">
        <f t="shared" si="23"/>
        <v>6</v>
      </c>
      <c r="L16" s="74">
        <f t="shared" si="24"/>
        <v>714</v>
      </c>
      <c r="M16" s="69">
        <v>97</v>
      </c>
      <c r="N16" s="82" t="s">
        <v>81</v>
      </c>
      <c r="O16" s="88">
        <v>1.5</v>
      </c>
      <c r="P16" s="81">
        <f t="shared" si="2"/>
        <v>145.5</v>
      </c>
      <c r="Q16" s="67">
        <f t="shared" si="3"/>
        <v>10.185</v>
      </c>
      <c r="R16" s="69">
        <f>(97*2)+(6*2)</f>
        <v>206</v>
      </c>
      <c r="S16" s="69" t="s">
        <v>150</v>
      </c>
      <c r="T16" s="72">
        <f>97*2</f>
        <v>194</v>
      </c>
      <c r="U16" s="72" t="s">
        <v>154</v>
      </c>
      <c r="V16" s="49"/>
      <c r="W16" s="49"/>
    </row>
    <row r="17" spans="1:23" ht="13.5" thickBot="1">
      <c r="A17" s="50"/>
      <c r="B17" s="124"/>
      <c r="C17" s="69"/>
      <c r="D17" s="70"/>
      <c r="E17" s="69"/>
      <c r="F17" s="125"/>
      <c r="G17" s="72"/>
      <c r="H17" s="126"/>
      <c r="I17" s="127"/>
      <c r="J17" s="128"/>
      <c r="K17" s="73"/>
      <c r="L17" s="74"/>
      <c r="M17" s="69"/>
      <c r="N17" s="125"/>
      <c r="O17" s="128"/>
      <c r="P17" s="129"/>
      <c r="Q17" s="67"/>
      <c r="R17" s="69"/>
      <c r="S17" s="72"/>
      <c r="T17" s="130"/>
      <c r="U17" s="72"/>
    </row>
    <row r="18" spans="1:23" ht="13.5" thickBot="1">
      <c r="A18" s="51"/>
      <c r="B18" s="131" t="s">
        <v>2</v>
      </c>
      <c r="C18" s="132">
        <f>SUM(C4:C17)</f>
        <v>1874</v>
      </c>
      <c r="D18" s="133"/>
      <c r="E18" s="235"/>
      <c r="F18" s="235"/>
      <c r="G18" s="236"/>
      <c r="H18" s="133">
        <f>SUM(H4:H17)</f>
        <v>13103.299999999997</v>
      </c>
      <c r="I18" s="237"/>
      <c r="J18" s="235"/>
      <c r="K18" s="238"/>
      <c r="L18" s="136">
        <f>SUM(L4:L17)</f>
        <v>12110.900000000001</v>
      </c>
      <c r="M18" s="132">
        <f>SUM(M5:M17)</f>
        <v>3505</v>
      </c>
      <c r="N18" s="133"/>
      <c r="O18" s="135"/>
      <c r="P18" s="137">
        <f>SUM(P4:P17)</f>
        <v>5257.5</v>
      </c>
      <c r="Q18" s="137">
        <f>SUM(Q4:Q17)</f>
        <v>368.02500000000009</v>
      </c>
      <c r="R18" s="132">
        <f>SUM(R4:R17)</f>
        <v>3722</v>
      </c>
      <c r="S18" s="137"/>
      <c r="T18" s="134">
        <f>SUM(T4:T17)</f>
        <v>3632</v>
      </c>
      <c r="U18" s="137"/>
    </row>
    <row r="19" spans="1:23">
      <c r="B19" s="49"/>
      <c r="C19" s="52"/>
      <c r="D19" s="52"/>
      <c r="E19" s="52"/>
      <c r="F19" s="52"/>
      <c r="G19" s="52"/>
      <c r="H19" s="53"/>
      <c r="I19" s="53"/>
      <c r="J19" s="53"/>
      <c r="K19" s="53"/>
      <c r="L19" s="52"/>
      <c r="M19" s="52"/>
      <c r="N19" s="52"/>
      <c r="O19" s="138" t="s">
        <v>89</v>
      </c>
      <c r="P19" s="139">
        <f>+P18*0.07</f>
        <v>368.02500000000003</v>
      </c>
      <c r="Q19" s="140"/>
      <c r="R19" s="53"/>
      <c r="S19" s="53"/>
      <c r="T19" s="52"/>
      <c r="U19" s="52"/>
    </row>
    <row r="20" spans="1:23" ht="18">
      <c r="A20" s="239"/>
      <c r="B20" s="239"/>
      <c r="C20" s="239"/>
      <c r="D20" s="239"/>
      <c r="E20" s="239"/>
      <c r="F20" s="239"/>
      <c r="G20" s="239"/>
      <c r="H20" s="239"/>
      <c r="I20" s="239"/>
      <c r="J20" s="239"/>
      <c r="K20" s="239"/>
      <c r="L20" s="239"/>
      <c r="M20" s="239"/>
      <c r="N20" s="239"/>
      <c r="O20" s="239"/>
      <c r="P20" s="239"/>
      <c r="Q20" s="239"/>
      <c r="R20" s="239"/>
      <c r="S20" s="239"/>
      <c r="T20" s="239"/>
      <c r="U20" s="239"/>
    </row>
    <row r="21" spans="1:23">
      <c r="A21" s="75"/>
      <c r="B21" s="220"/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40"/>
      <c r="O21" s="240"/>
      <c r="P21" s="240"/>
      <c r="Q21" s="240"/>
      <c r="R21" s="240"/>
      <c r="S21" s="240"/>
      <c r="T21" s="240"/>
      <c r="U21" s="240"/>
    </row>
    <row r="22" spans="1:23">
      <c r="C22" s="52"/>
      <c r="D22" s="52"/>
      <c r="E22" s="52"/>
      <c r="F22" s="52"/>
      <c r="H22" s="53"/>
      <c r="I22" s="53"/>
      <c r="J22" s="53"/>
      <c r="K22" s="53"/>
      <c r="L22" s="52"/>
      <c r="M22" s="52"/>
      <c r="N22" s="52"/>
      <c r="O22" s="52"/>
      <c r="P22" s="54"/>
      <c r="Q22" s="54"/>
      <c r="R22" s="53"/>
      <c r="S22" s="53"/>
      <c r="T22" s="52"/>
      <c r="U22" s="52"/>
    </row>
    <row r="23" spans="1:23">
      <c r="C23" s="52"/>
      <c r="D23" s="52"/>
      <c r="E23" s="52"/>
      <c r="F23" s="52"/>
      <c r="G23" s="52"/>
      <c r="H23" s="53"/>
      <c r="I23" s="53"/>
      <c r="J23" s="53"/>
      <c r="K23" s="53"/>
      <c r="L23" s="52"/>
      <c r="M23" s="52"/>
      <c r="N23" s="52"/>
      <c r="O23" s="52"/>
      <c r="P23" s="54"/>
      <c r="Q23" s="54"/>
      <c r="R23" s="53"/>
      <c r="S23" s="53"/>
      <c r="T23" s="52"/>
      <c r="U23" s="52"/>
    </row>
    <row r="24" spans="1:23">
      <c r="C24" s="52"/>
      <c r="D24" s="52"/>
      <c r="E24" s="52"/>
      <c r="F24" s="52"/>
      <c r="G24" s="52"/>
      <c r="H24" s="55"/>
      <c r="I24" s="53"/>
      <c r="J24" s="53"/>
      <c r="K24" s="53"/>
      <c r="L24" s="52"/>
      <c r="M24" s="52"/>
      <c r="N24" s="52"/>
      <c r="O24" s="52"/>
      <c r="P24" s="54"/>
      <c r="Q24" s="54"/>
      <c r="R24" s="53"/>
      <c r="S24" s="53"/>
      <c r="T24" s="52"/>
      <c r="U24" s="52"/>
    </row>
    <row r="25" spans="1:23">
      <c r="A25" s="219" t="s">
        <v>90</v>
      </c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  <c r="M25" s="219"/>
      <c r="N25" s="219"/>
      <c r="O25" s="219"/>
      <c r="P25" s="219"/>
      <c r="Q25" s="219"/>
      <c r="R25" s="219"/>
      <c r="S25" s="219"/>
      <c r="T25" s="219"/>
      <c r="U25" s="219"/>
    </row>
    <row r="26" spans="1:23">
      <c r="A26" s="217" t="s">
        <v>91</v>
      </c>
      <c r="B26" s="218"/>
      <c r="C26" s="218"/>
      <c r="D26" s="218"/>
      <c r="E26" s="218"/>
      <c r="F26" s="218"/>
      <c r="G26" s="218"/>
      <c r="H26" s="218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  <c r="U26" s="218"/>
    </row>
    <row r="27" spans="1:23">
      <c r="C27" s="56"/>
      <c r="D27" s="56"/>
      <c r="E27" s="56"/>
      <c r="F27" s="56"/>
      <c r="G27" s="56"/>
      <c r="H27" s="57"/>
      <c r="I27" s="57"/>
      <c r="J27" s="57"/>
      <c r="K27" s="57"/>
      <c r="L27" s="58"/>
      <c r="M27" s="59"/>
      <c r="N27" s="59"/>
      <c r="O27" s="59"/>
      <c r="P27" s="60"/>
      <c r="Q27" s="60"/>
      <c r="R27" s="60"/>
      <c r="S27" s="60"/>
      <c r="T27" s="59"/>
      <c r="U27" s="61"/>
      <c r="V27" s="61"/>
      <c r="W27" s="61"/>
    </row>
  </sheetData>
  <mergeCells count="14">
    <mergeCell ref="B1:H1"/>
    <mergeCell ref="A26:U26"/>
    <mergeCell ref="A25:U25"/>
    <mergeCell ref="B21:M21"/>
    <mergeCell ref="C2:L2"/>
    <mergeCell ref="M2:Q2"/>
    <mergeCell ref="R2:S2"/>
    <mergeCell ref="T2:U2"/>
    <mergeCell ref="E3:G3"/>
    <mergeCell ref="I3:K3"/>
    <mergeCell ref="E18:G18"/>
    <mergeCell ref="I18:K18"/>
    <mergeCell ref="A20:U20"/>
    <mergeCell ref="N21:U21"/>
  </mergeCells>
  <pageMargins left="0.511811024" right="0.511811024" top="0.78740157499999996" bottom="0.78740157499999996" header="0.31496062000000002" footer="0.31496062000000002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0"/>
  <sheetViews>
    <sheetView tabSelected="1" topLeftCell="A10" zoomScale="80" zoomScaleNormal="80" zoomScalePageLayoutView="80" workbookViewId="0">
      <selection activeCell="C20" sqref="C20"/>
    </sheetView>
  </sheetViews>
  <sheetFormatPr defaultRowHeight="15"/>
  <cols>
    <col min="1" max="1" width="9" style="3" customWidth="1"/>
    <col min="2" max="2" width="19.5703125" style="3" customWidth="1"/>
    <col min="3" max="3" width="85.5703125" style="3" customWidth="1"/>
    <col min="4" max="4" width="8" style="3" customWidth="1"/>
    <col min="5" max="5" width="12.42578125" style="3" customWidth="1"/>
    <col min="6" max="6" width="13.7109375" style="3" customWidth="1"/>
    <col min="7" max="7" width="15.7109375" style="3" customWidth="1"/>
    <col min="8" max="8" width="13.7109375" style="3" customWidth="1"/>
    <col min="9" max="9" width="19.42578125" style="3" customWidth="1"/>
    <col min="10" max="10" width="9.140625" style="2"/>
    <col min="11" max="11" width="9.140625" style="3"/>
    <col min="12" max="12" width="9.140625" style="1"/>
    <col min="14" max="14" width="5.140625" customWidth="1"/>
    <col min="15" max="15" width="3.85546875" customWidth="1"/>
  </cols>
  <sheetData>
    <row r="1" spans="1:12" s="6" customFormat="1" ht="15" customHeight="1">
      <c r="A1" s="270" t="s">
        <v>13</v>
      </c>
      <c r="B1" s="271"/>
      <c r="C1" s="271"/>
      <c r="D1" s="271"/>
      <c r="E1" s="271"/>
      <c r="F1" s="271"/>
      <c r="G1" s="271"/>
      <c r="H1" s="271"/>
      <c r="I1" s="272"/>
      <c r="J1" s="7"/>
      <c r="K1" s="4"/>
      <c r="L1" s="5"/>
    </row>
    <row r="2" spans="1:12" s="6" customFormat="1" ht="15" customHeight="1">
      <c r="A2" s="273"/>
      <c r="B2" s="274"/>
      <c r="C2" s="274"/>
      <c r="D2" s="274"/>
      <c r="E2" s="274"/>
      <c r="F2" s="274"/>
      <c r="G2" s="274"/>
      <c r="H2" s="274"/>
      <c r="I2" s="275"/>
      <c r="J2" s="7"/>
      <c r="K2" s="4"/>
      <c r="L2" s="5"/>
    </row>
    <row r="3" spans="1:12" s="6" customFormat="1" ht="15" customHeight="1" thickBot="1">
      <c r="A3" s="276"/>
      <c r="B3" s="277"/>
      <c r="C3" s="277"/>
      <c r="D3" s="277"/>
      <c r="E3" s="277"/>
      <c r="F3" s="278"/>
      <c r="G3" s="278"/>
      <c r="H3" s="278"/>
      <c r="I3" s="279"/>
      <c r="J3" s="7"/>
      <c r="K3" s="4"/>
      <c r="L3" s="5"/>
    </row>
    <row r="4" spans="1:12" s="6" customFormat="1" ht="15" customHeight="1">
      <c r="A4" s="288" t="s">
        <v>21</v>
      </c>
      <c r="B4" s="289"/>
      <c r="C4" s="289"/>
      <c r="D4" s="289"/>
      <c r="E4" s="290"/>
      <c r="F4" s="303" t="s">
        <v>23</v>
      </c>
      <c r="G4" s="304"/>
      <c r="H4" s="305"/>
      <c r="I4" s="286" t="s">
        <v>22</v>
      </c>
      <c r="J4" s="7"/>
      <c r="K4" s="4"/>
      <c r="L4" s="5"/>
    </row>
    <row r="5" spans="1:12" s="6" customFormat="1" ht="15" customHeight="1" thickBot="1">
      <c r="A5" s="291"/>
      <c r="B5" s="292"/>
      <c r="C5" s="292"/>
      <c r="D5" s="292"/>
      <c r="E5" s="293"/>
      <c r="F5" s="306" t="s">
        <v>29</v>
      </c>
      <c r="G5" s="307"/>
      <c r="H5" s="8" t="s">
        <v>20</v>
      </c>
      <c r="I5" s="287"/>
      <c r="J5" s="7"/>
      <c r="K5" s="4"/>
      <c r="L5" s="5"/>
    </row>
    <row r="6" spans="1:12" s="6" customFormat="1" ht="15" customHeight="1">
      <c r="A6" s="282" t="s">
        <v>41</v>
      </c>
      <c r="B6" s="283"/>
      <c r="C6" s="283"/>
      <c r="D6" s="283"/>
      <c r="E6" s="284"/>
      <c r="F6" s="308" t="s">
        <v>43</v>
      </c>
      <c r="G6" s="309"/>
      <c r="H6" s="9" t="s">
        <v>155</v>
      </c>
      <c r="I6" s="285">
        <v>0.2228</v>
      </c>
      <c r="J6" s="7"/>
      <c r="K6" s="4"/>
      <c r="L6" s="5"/>
    </row>
    <row r="7" spans="1:12" s="6" customFormat="1" ht="15" customHeight="1">
      <c r="A7" s="294" t="s">
        <v>42</v>
      </c>
      <c r="B7" s="295"/>
      <c r="C7" s="295"/>
      <c r="D7" s="295"/>
      <c r="E7" s="296"/>
      <c r="F7" s="242" t="s">
        <v>44</v>
      </c>
      <c r="G7" s="243"/>
      <c r="H7" s="10" t="s">
        <v>156</v>
      </c>
      <c r="I7" s="285"/>
      <c r="J7" s="7"/>
      <c r="K7" s="4"/>
      <c r="L7" s="5"/>
    </row>
    <row r="8" spans="1:12" s="6" customFormat="1" ht="15" customHeight="1">
      <c r="A8" s="294" t="s">
        <v>231</v>
      </c>
      <c r="B8" s="295"/>
      <c r="C8" s="295"/>
      <c r="D8" s="295"/>
      <c r="E8" s="296"/>
      <c r="F8" s="242" t="s">
        <v>45</v>
      </c>
      <c r="G8" s="243"/>
      <c r="H8" s="10" t="s">
        <v>157</v>
      </c>
      <c r="I8" s="285"/>
      <c r="J8" s="7"/>
    </row>
    <row r="9" spans="1:12" s="6" customFormat="1" ht="15" customHeight="1">
      <c r="A9" s="300" t="s">
        <v>24</v>
      </c>
      <c r="B9" s="301"/>
      <c r="C9" s="301"/>
      <c r="D9" s="301"/>
      <c r="E9" s="302"/>
      <c r="F9" s="242"/>
      <c r="G9" s="243"/>
      <c r="H9" s="10"/>
      <c r="I9" s="285"/>
      <c r="J9" s="7"/>
    </row>
    <row r="10" spans="1:12" s="6" customFormat="1" ht="15" customHeight="1">
      <c r="A10" s="300"/>
      <c r="B10" s="301"/>
      <c r="C10" s="301"/>
      <c r="D10" s="301"/>
      <c r="E10" s="302"/>
      <c r="F10" s="242"/>
      <c r="G10" s="243"/>
      <c r="H10" s="10"/>
      <c r="I10" s="285"/>
      <c r="J10" s="7"/>
    </row>
    <row r="11" spans="1:12" s="6" customFormat="1" ht="15" customHeight="1" thickBot="1">
      <c r="A11" s="297" t="s">
        <v>46</v>
      </c>
      <c r="B11" s="298"/>
      <c r="C11" s="298"/>
      <c r="D11" s="298"/>
      <c r="E11" s="299"/>
      <c r="F11" s="280"/>
      <c r="G11" s="281"/>
      <c r="H11" s="11"/>
      <c r="I11" s="285"/>
      <c r="J11" s="7"/>
    </row>
    <row r="12" spans="1:12" s="6" customFormat="1" ht="15" customHeight="1" thickBot="1">
      <c r="A12" s="257" t="s">
        <v>13</v>
      </c>
      <c r="B12" s="258"/>
      <c r="C12" s="258"/>
      <c r="D12" s="258"/>
      <c r="E12" s="258"/>
      <c r="F12" s="258"/>
      <c r="G12" s="258"/>
      <c r="H12" s="258"/>
      <c r="I12" s="259"/>
      <c r="J12" s="7"/>
    </row>
    <row r="13" spans="1:12" s="6" customFormat="1" ht="15" customHeight="1">
      <c r="A13" s="251" t="s">
        <v>0</v>
      </c>
      <c r="B13" s="267" t="s">
        <v>6</v>
      </c>
      <c r="C13" s="267" t="s">
        <v>12</v>
      </c>
      <c r="D13" s="267" t="s">
        <v>1</v>
      </c>
      <c r="E13" s="264" t="s">
        <v>19</v>
      </c>
      <c r="F13" s="254" t="s">
        <v>14</v>
      </c>
      <c r="G13" s="250"/>
      <c r="H13" s="249" t="s">
        <v>14</v>
      </c>
      <c r="I13" s="250"/>
      <c r="J13" s="7"/>
    </row>
    <row r="14" spans="1:12" s="6" customFormat="1" ht="15" customHeight="1">
      <c r="A14" s="252"/>
      <c r="B14" s="268"/>
      <c r="C14" s="268"/>
      <c r="D14" s="268"/>
      <c r="E14" s="265"/>
      <c r="F14" s="255" t="s">
        <v>15</v>
      </c>
      <c r="G14" s="256"/>
      <c r="H14" s="312" t="s">
        <v>16</v>
      </c>
      <c r="I14" s="256"/>
      <c r="J14" s="7"/>
    </row>
    <row r="15" spans="1:12" s="6" customFormat="1" ht="15" customHeight="1" thickBot="1">
      <c r="A15" s="253"/>
      <c r="B15" s="269"/>
      <c r="C15" s="269"/>
      <c r="D15" s="269"/>
      <c r="E15" s="266"/>
      <c r="F15" s="12" t="s">
        <v>17</v>
      </c>
      <c r="G15" s="13" t="s">
        <v>18</v>
      </c>
      <c r="H15" s="14" t="s">
        <v>17</v>
      </c>
      <c r="I15" s="13" t="s">
        <v>18</v>
      </c>
      <c r="J15" s="7"/>
    </row>
    <row r="16" spans="1:12" s="6" customFormat="1" ht="23.25" customHeight="1">
      <c r="A16" s="64">
        <v>1</v>
      </c>
      <c r="B16" s="260" t="s">
        <v>50</v>
      </c>
      <c r="C16" s="261"/>
      <c r="D16" s="15"/>
      <c r="E16" s="16"/>
      <c r="F16" s="17"/>
      <c r="G16" s="18"/>
      <c r="H16" s="19"/>
      <c r="I16" s="92">
        <f>SUM(I17)</f>
        <v>1098.26</v>
      </c>
      <c r="J16" s="7"/>
    </row>
    <row r="17" spans="1:15" s="6" customFormat="1" ht="75" customHeight="1">
      <c r="A17" s="20" t="s">
        <v>48</v>
      </c>
      <c r="B17" s="21" t="s">
        <v>49</v>
      </c>
      <c r="C17" s="42" t="s">
        <v>47</v>
      </c>
      <c r="D17" s="21" t="s">
        <v>1</v>
      </c>
      <c r="E17" s="22">
        <f>L17</f>
        <v>1</v>
      </c>
      <c r="F17" s="23">
        <v>898.15</v>
      </c>
      <c r="G17" s="24">
        <f t="shared" ref="G17:G32" si="0">F17*E17</f>
        <v>898.15</v>
      </c>
      <c r="H17" s="25">
        <f t="shared" ref="H17:H32" si="1">F17*(1+$I$6)</f>
        <v>1098.2578199999998</v>
      </c>
      <c r="I17" s="77">
        <f t="shared" ref="I17:I32" si="2">ROUND(H17*E17,2)</f>
        <v>1098.26</v>
      </c>
      <c r="J17" s="7"/>
      <c r="L17" s="310">
        <v>1</v>
      </c>
      <c r="M17" s="310"/>
      <c r="N17" s="310"/>
      <c r="O17" s="310"/>
    </row>
    <row r="18" spans="1:15" s="6" customFormat="1" ht="15" customHeight="1">
      <c r="A18" s="63">
        <v>2</v>
      </c>
      <c r="B18" s="262" t="s">
        <v>51</v>
      </c>
      <c r="C18" s="263"/>
      <c r="D18" s="21"/>
      <c r="E18" s="22"/>
      <c r="F18" s="23"/>
      <c r="G18" s="24"/>
      <c r="H18" s="25"/>
      <c r="I18" s="93">
        <f>SUM(I20,I19)</f>
        <v>632501.30000000005</v>
      </c>
      <c r="J18" s="7"/>
      <c r="L18" s="310"/>
      <c r="M18" s="310"/>
      <c r="N18" s="310"/>
      <c r="O18" s="310"/>
    </row>
    <row r="19" spans="1:15" s="6" customFormat="1" ht="22.5" customHeight="1">
      <c r="A19" s="20" t="s">
        <v>52</v>
      </c>
      <c r="B19" s="44" t="s">
        <v>57</v>
      </c>
      <c r="C19" s="42" t="s">
        <v>56</v>
      </c>
      <c r="D19" s="21" t="s">
        <v>54</v>
      </c>
      <c r="E19" s="22">
        <f>L19</f>
        <v>12110.900000000001</v>
      </c>
      <c r="F19" s="23">
        <v>0.71</v>
      </c>
      <c r="G19" s="24">
        <f t="shared" si="0"/>
        <v>8598.7390000000014</v>
      </c>
      <c r="H19" s="25">
        <f t="shared" si="1"/>
        <v>0.86818799999999985</v>
      </c>
      <c r="I19" s="77">
        <f t="shared" si="2"/>
        <v>10514.54</v>
      </c>
      <c r="J19" s="7"/>
      <c r="L19" s="311">
        <f>((6.4*100)+(140*6)+(342*6)+(5*2*6)+(110*6)+(86*6)+(345*6.4)+(6*2*6)+(200*7)+(107*6.3)+(93*6)+(232*7.4)+(119*6))</f>
        <v>12110.900000000001</v>
      </c>
      <c r="M19" s="310"/>
      <c r="N19" s="310"/>
      <c r="O19" s="310"/>
    </row>
    <row r="20" spans="1:15" s="6" customFormat="1" ht="44.25" customHeight="1">
      <c r="A20" s="20" t="s">
        <v>55</v>
      </c>
      <c r="B20" s="21" t="s">
        <v>53</v>
      </c>
      <c r="C20" s="42" t="s">
        <v>255</v>
      </c>
      <c r="D20" s="21" t="s">
        <v>54</v>
      </c>
      <c r="E20" s="22">
        <f>L20</f>
        <v>12110.900000000001</v>
      </c>
      <c r="F20" s="23">
        <v>42</v>
      </c>
      <c r="G20" s="24">
        <f t="shared" si="0"/>
        <v>508657.80000000005</v>
      </c>
      <c r="H20" s="25">
        <f t="shared" si="1"/>
        <v>51.357599999999998</v>
      </c>
      <c r="I20" s="77">
        <f t="shared" si="2"/>
        <v>621986.76</v>
      </c>
      <c r="J20" s="7"/>
      <c r="L20" s="311">
        <f>((6.4*100)+(140*6)+(342*6)+(5*2*6)+(110*6)+(86*6)+(345*6.4)+(6*2*6)+(200*7)+(107*6.3)+(93*6)+(232*7.4)+(119*6))</f>
        <v>12110.900000000001</v>
      </c>
      <c r="M20" s="310"/>
      <c r="N20" s="310"/>
      <c r="O20" s="310"/>
    </row>
    <row r="21" spans="1:15" s="6" customFormat="1" ht="15" customHeight="1">
      <c r="A21" s="63">
        <v>3</v>
      </c>
      <c r="B21" s="246" t="s">
        <v>58</v>
      </c>
      <c r="C21" s="247"/>
      <c r="D21" s="21"/>
      <c r="E21" s="22"/>
      <c r="F21" s="23"/>
      <c r="G21" s="24"/>
      <c r="H21" s="25"/>
      <c r="I21" s="93">
        <f>SUM(I22:I24)</f>
        <v>201656.84999999998</v>
      </c>
      <c r="J21" s="7"/>
      <c r="L21" s="311"/>
      <c r="M21" s="310"/>
      <c r="N21" s="310"/>
      <c r="O21" s="310"/>
    </row>
    <row r="22" spans="1:15" s="6" customFormat="1" ht="36.75" customHeight="1">
      <c r="A22" s="20" t="s">
        <v>59</v>
      </c>
      <c r="B22" s="62">
        <v>94990</v>
      </c>
      <c r="C22" s="42" t="s">
        <v>61</v>
      </c>
      <c r="D22" s="21" t="s">
        <v>64</v>
      </c>
      <c r="E22" s="22">
        <f>L22</f>
        <v>368.02500000000003</v>
      </c>
      <c r="F22" s="23">
        <v>382.77</v>
      </c>
      <c r="G22" s="24">
        <f t="shared" si="0"/>
        <v>140868.92925000002</v>
      </c>
      <c r="H22" s="25">
        <f t="shared" si="1"/>
        <v>468.05115599999993</v>
      </c>
      <c r="I22" s="77">
        <f t="shared" si="2"/>
        <v>172254.53</v>
      </c>
      <c r="J22" s="7"/>
      <c r="L22" s="311">
        <f>(200+280+642+220+172+654+220+180+214+186+440+97)*1.5*0.07</f>
        <v>368.02500000000003</v>
      </c>
      <c r="M22" s="310"/>
      <c r="N22" s="310"/>
      <c r="O22" s="310"/>
    </row>
    <row r="23" spans="1:15" s="6" customFormat="1" ht="18.75" customHeight="1">
      <c r="A23" s="20" t="s">
        <v>60</v>
      </c>
      <c r="B23" s="62">
        <v>38135</v>
      </c>
      <c r="C23" s="42" t="s">
        <v>92</v>
      </c>
      <c r="D23" s="21" t="s">
        <v>54</v>
      </c>
      <c r="E23" s="22">
        <f>L23</f>
        <v>682.2</v>
      </c>
      <c r="F23" s="23">
        <v>33.25</v>
      </c>
      <c r="G23" s="24">
        <f t="shared" si="0"/>
        <v>22683.15</v>
      </c>
      <c r="H23" s="25">
        <f t="shared" si="1"/>
        <v>40.658099999999997</v>
      </c>
      <c r="I23" s="77">
        <f t="shared" si="2"/>
        <v>27736.959999999999</v>
      </c>
      <c r="J23" s="7"/>
      <c r="L23" s="311">
        <f>((200-12)+(280-12)+(680-49-36)+(220-12)+(172-12)+(690-42)+(400-14-24)+(214-12)+(186-12)+(464-28-12)+(194-12))*0.2</f>
        <v>682.2</v>
      </c>
      <c r="M23" s="310"/>
      <c r="N23" s="310"/>
      <c r="O23" s="310"/>
    </row>
    <row r="24" spans="1:15" s="6" customFormat="1" ht="21" customHeight="1">
      <c r="A24" s="20" t="s">
        <v>100</v>
      </c>
      <c r="B24" s="21">
        <v>38135</v>
      </c>
      <c r="C24" s="42" t="s">
        <v>93</v>
      </c>
      <c r="D24" s="21" t="s">
        <v>54</v>
      </c>
      <c r="E24" s="22">
        <f>L24</f>
        <v>40.960000000000008</v>
      </c>
      <c r="F24" s="23">
        <v>33.25</v>
      </c>
      <c r="G24" s="24">
        <f t="shared" si="0"/>
        <v>1361.9200000000003</v>
      </c>
      <c r="H24" s="25">
        <f t="shared" si="1"/>
        <v>40.658099999999997</v>
      </c>
      <c r="I24" s="77">
        <f t="shared" si="2"/>
        <v>1665.36</v>
      </c>
      <c r="J24" s="7"/>
      <c r="L24" s="311">
        <f>((12.2+12.8+20+12.8+12.6+50.8+13.6+12.8+12.8+32.4+12))*0.2</f>
        <v>40.960000000000008</v>
      </c>
      <c r="M24" s="310"/>
      <c r="N24" s="310"/>
      <c r="O24" s="310"/>
    </row>
    <row r="25" spans="1:15" s="6" customFormat="1" ht="15" customHeight="1">
      <c r="A25" s="63">
        <v>4</v>
      </c>
      <c r="B25" s="262" t="s">
        <v>62</v>
      </c>
      <c r="C25" s="263"/>
      <c r="D25" s="21"/>
      <c r="E25" s="22"/>
      <c r="F25" s="23"/>
      <c r="G25" s="24"/>
      <c r="H25" s="25"/>
      <c r="I25" s="93">
        <f>SUM(I26:I27)</f>
        <v>237465.32</v>
      </c>
      <c r="J25" s="7"/>
      <c r="K25" s="4"/>
      <c r="L25" s="311"/>
      <c r="M25" s="310"/>
      <c r="N25" s="310"/>
      <c r="O25" s="310"/>
    </row>
    <row r="26" spans="1:15" s="6" customFormat="1" ht="47.25" customHeight="1">
      <c r="A26" s="20" t="s">
        <v>101</v>
      </c>
      <c r="B26" s="21">
        <v>94273</v>
      </c>
      <c r="C26" s="42" t="s">
        <v>63</v>
      </c>
      <c r="D26" s="21" t="s">
        <v>65</v>
      </c>
      <c r="E26" s="22">
        <f>L26</f>
        <v>3722</v>
      </c>
      <c r="F26" s="23">
        <v>29</v>
      </c>
      <c r="G26" s="24">
        <f t="shared" si="0"/>
        <v>107938</v>
      </c>
      <c r="H26" s="25">
        <f t="shared" si="1"/>
        <v>35.461199999999998</v>
      </c>
      <c r="I26" s="77">
        <f t="shared" si="2"/>
        <v>131986.59</v>
      </c>
      <c r="J26" s="7"/>
      <c r="K26" s="4"/>
      <c r="L26" s="310">
        <f>ROUND((100*2)+(140*2)+(342*2-7*6+2*5)+(86*2)+(345*2-6*6+12*2)+(110*2)+(200*2)+(107*2)+(93*2)+(232*2-4*7),2)+(13*6)+(97*2)+(6*2)</f>
        <v>3722</v>
      </c>
      <c r="M26" s="310"/>
      <c r="N26" s="310"/>
      <c r="O26" s="310"/>
    </row>
    <row r="27" spans="1:15" s="6" customFormat="1" ht="33.75" customHeight="1">
      <c r="A27" s="20" t="s">
        <v>102</v>
      </c>
      <c r="B27" s="21">
        <v>94287</v>
      </c>
      <c r="C27" s="42" t="s">
        <v>175</v>
      </c>
      <c r="D27" s="21" t="s">
        <v>65</v>
      </c>
      <c r="E27" s="22">
        <f>L27</f>
        <v>3632</v>
      </c>
      <c r="F27" s="23">
        <v>23.75</v>
      </c>
      <c r="G27" s="24">
        <f t="shared" si="0"/>
        <v>86260</v>
      </c>
      <c r="H27" s="25">
        <f t="shared" si="1"/>
        <v>29.041499999999996</v>
      </c>
      <c r="I27" s="77">
        <f t="shared" si="2"/>
        <v>105478.73</v>
      </c>
      <c r="J27" s="7"/>
      <c r="K27" s="4"/>
      <c r="L27" s="310">
        <f>ROUND((100*2)+(140*2)+(342*2-7*6+2*5)+(86*2)+(345*2-6*6+12*2)+(110*2)+(200*2)+(107*2)+(93*2)+(232*2-4*7)+(97*2),2)</f>
        <v>3632</v>
      </c>
      <c r="M27" s="310"/>
      <c r="N27" s="310"/>
      <c r="O27" s="310"/>
    </row>
    <row r="28" spans="1:15" s="6" customFormat="1" ht="15" customHeight="1">
      <c r="A28" s="63">
        <v>5</v>
      </c>
      <c r="B28" s="246" t="s">
        <v>94</v>
      </c>
      <c r="C28" s="247"/>
      <c r="D28" s="21"/>
      <c r="E28" s="22"/>
      <c r="F28" s="23"/>
      <c r="G28" s="24"/>
      <c r="H28" s="25"/>
      <c r="I28" s="93">
        <f>SUM(I29:I32)</f>
        <v>19278.27</v>
      </c>
      <c r="J28" s="7"/>
      <c r="K28" s="4"/>
      <c r="L28" s="310"/>
      <c r="M28" s="310"/>
      <c r="N28" s="310"/>
      <c r="O28" s="310"/>
    </row>
    <row r="29" spans="1:15" s="6" customFormat="1" ht="32.25" customHeight="1">
      <c r="A29" s="20" t="s">
        <v>103</v>
      </c>
      <c r="B29" s="21">
        <v>72947</v>
      </c>
      <c r="C29" s="42" t="s">
        <v>97</v>
      </c>
      <c r="D29" s="21" t="s">
        <v>54</v>
      </c>
      <c r="E29" s="22">
        <f>L29</f>
        <v>421.46250000000003</v>
      </c>
      <c r="F29" s="23">
        <v>23.5</v>
      </c>
      <c r="G29" s="24">
        <f t="shared" si="0"/>
        <v>9904.3687500000015</v>
      </c>
      <c r="H29" s="25">
        <f t="shared" si="1"/>
        <v>28.735799999999998</v>
      </c>
      <c r="I29" s="77">
        <f t="shared" si="2"/>
        <v>12111.06</v>
      </c>
      <c r="J29" s="7"/>
      <c r="K29" s="4"/>
      <c r="L29" s="310">
        <f>((85)+(124)+(125+110+30)+(100)+(76)+(80+66+50+67)+(97+77)+(93)+(78.5)+(41+62+69)+(86.75))*0.1*0.5+(36*0.4*4*6)</f>
        <v>421.46250000000003</v>
      </c>
      <c r="M29" s="310"/>
      <c r="N29" s="310"/>
      <c r="O29" s="310"/>
    </row>
    <row r="30" spans="1:15" s="6" customFormat="1" ht="20.25" customHeight="1">
      <c r="A30" s="20" t="s">
        <v>104</v>
      </c>
      <c r="B30" s="21" t="s">
        <v>95</v>
      </c>
      <c r="C30" s="42" t="s">
        <v>96</v>
      </c>
      <c r="D30" s="21" t="s">
        <v>1</v>
      </c>
      <c r="E30" s="22">
        <f t="shared" ref="E30:E32" si="3">L30</f>
        <v>6</v>
      </c>
      <c r="F30" s="23">
        <v>89</v>
      </c>
      <c r="G30" s="24">
        <f t="shared" si="0"/>
        <v>534</v>
      </c>
      <c r="H30" s="25">
        <f t="shared" si="1"/>
        <v>108.82919999999999</v>
      </c>
      <c r="I30" s="77">
        <f t="shared" si="2"/>
        <v>652.98</v>
      </c>
      <c r="J30" s="7"/>
      <c r="K30" s="4"/>
      <c r="L30" s="310">
        <v>6</v>
      </c>
      <c r="M30" s="310"/>
      <c r="N30" s="310"/>
      <c r="O30" s="310"/>
    </row>
    <row r="31" spans="1:15" s="6" customFormat="1" ht="32.25" customHeight="1">
      <c r="A31" s="20" t="s">
        <v>105</v>
      </c>
      <c r="B31" s="21">
        <v>5213571</v>
      </c>
      <c r="C31" s="42" t="s">
        <v>99</v>
      </c>
      <c r="D31" s="21" t="s">
        <v>1</v>
      </c>
      <c r="E31" s="22">
        <f t="shared" si="3"/>
        <v>11</v>
      </c>
      <c r="F31" s="23">
        <v>275.3</v>
      </c>
      <c r="G31" s="24">
        <f t="shared" si="0"/>
        <v>3028.3</v>
      </c>
      <c r="H31" s="25">
        <f t="shared" si="1"/>
        <v>336.63684000000001</v>
      </c>
      <c r="I31" s="77">
        <f t="shared" si="2"/>
        <v>3703.01</v>
      </c>
      <c r="J31" s="7"/>
      <c r="K31" s="4"/>
      <c r="L31" s="310">
        <v>11</v>
      </c>
      <c r="M31" s="310"/>
      <c r="N31" s="310"/>
      <c r="O31" s="310"/>
    </row>
    <row r="32" spans="1:15" s="6" customFormat="1" ht="27.75" customHeight="1">
      <c r="A32" s="20" t="s">
        <v>106</v>
      </c>
      <c r="B32" s="21">
        <v>5213851</v>
      </c>
      <c r="C32" s="42" t="s">
        <v>98</v>
      </c>
      <c r="D32" s="21" t="s">
        <v>1</v>
      </c>
      <c r="E32" s="22">
        <f t="shared" si="3"/>
        <v>11</v>
      </c>
      <c r="F32" s="23">
        <v>209</v>
      </c>
      <c r="G32" s="24">
        <f t="shared" si="0"/>
        <v>2299</v>
      </c>
      <c r="H32" s="25">
        <f t="shared" si="1"/>
        <v>255.56519999999998</v>
      </c>
      <c r="I32" s="77">
        <f t="shared" si="2"/>
        <v>2811.22</v>
      </c>
      <c r="J32" s="7"/>
      <c r="K32" s="4"/>
      <c r="L32" s="310">
        <v>11</v>
      </c>
      <c r="M32" s="310"/>
      <c r="N32" s="310"/>
      <c r="O32" s="310"/>
    </row>
    <row r="33" spans="1:15" s="6" customFormat="1" ht="15" customHeight="1" thickBot="1">
      <c r="A33" s="26"/>
      <c r="B33" s="27"/>
      <c r="C33" s="43"/>
      <c r="D33" s="27"/>
      <c r="E33" s="28"/>
      <c r="F33" s="29"/>
      <c r="G33" s="30"/>
      <c r="H33" s="31"/>
      <c r="I33" s="78"/>
      <c r="J33" s="7"/>
      <c r="K33" s="4"/>
      <c r="L33" s="310"/>
      <c r="M33" s="310"/>
      <c r="N33" s="310"/>
      <c r="O33" s="310"/>
    </row>
    <row r="34" spans="1:15" ht="15" customHeight="1" thickBot="1">
      <c r="A34" s="32" t="s">
        <v>2</v>
      </c>
      <c r="B34" s="33" t="s">
        <v>3</v>
      </c>
      <c r="C34" s="33" t="s">
        <v>3</v>
      </c>
      <c r="D34" s="33"/>
      <c r="E34" s="34"/>
      <c r="F34" s="35" t="s">
        <v>34</v>
      </c>
      <c r="G34" s="36">
        <f>SUM(G16:G33)</f>
        <v>893032.35700000019</v>
      </c>
      <c r="H34" s="37" t="s">
        <v>35</v>
      </c>
      <c r="I34" s="79">
        <f>SUM(I16:I33)/2</f>
        <v>1092000.0000000002</v>
      </c>
      <c r="L34" s="310">
        <f>I34*0.98</f>
        <v>1070160.0000000002</v>
      </c>
      <c r="M34" s="310"/>
      <c r="N34" s="310"/>
      <c r="O34" s="310"/>
    </row>
    <row r="35" spans="1:15" ht="15" customHeight="1">
      <c r="A35" s="248" t="s">
        <v>31</v>
      </c>
      <c r="B35" s="248"/>
      <c r="C35" s="248"/>
      <c r="D35" s="248"/>
      <c r="E35" s="248"/>
      <c r="F35" s="248"/>
      <c r="G35" s="248"/>
      <c r="H35" s="248"/>
      <c r="I35" s="248"/>
    </row>
    <row r="36" spans="1:15" ht="15" customHeight="1">
      <c r="A36" s="244" t="s">
        <v>26</v>
      </c>
      <c r="B36" s="244"/>
      <c r="C36" s="40" t="s">
        <v>7</v>
      </c>
    </row>
    <row r="37" spans="1:15" ht="15" customHeight="1">
      <c r="A37" s="244" t="s">
        <v>27</v>
      </c>
      <c r="B37" s="244"/>
      <c r="C37" s="40" t="s">
        <v>28</v>
      </c>
    </row>
    <row r="38" spans="1:15" ht="15" customHeight="1">
      <c r="A38" s="244" t="s">
        <v>1</v>
      </c>
      <c r="B38" s="244"/>
      <c r="C38" s="40" t="s">
        <v>5</v>
      </c>
      <c r="K38"/>
      <c r="L38"/>
    </row>
    <row r="39" spans="1:15" ht="15" customHeight="1">
      <c r="A39" s="244" t="s">
        <v>30</v>
      </c>
      <c r="B39" s="244"/>
      <c r="C39" s="40" t="s">
        <v>4</v>
      </c>
      <c r="K39"/>
      <c r="L39"/>
    </row>
    <row r="40" spans="1:15" ht="15" customHeight="1">
      <c r="A40" s="244" t="s">
        <v>9</v>
      </c>
      <c r="B40" s="244"/>
      <c r="C40" s="40" t="s">
        <v>10</v>
      </c>
      <c r="D40" s="38"/>
    </row>
    <row r="41" spans="1:15" ht="15" customHeight="1">
      <c r="A41" s="244" t="s">
        <v>38</v>
      </c>
      <c r="B41" s="244"/>
      <c r="C41" s="40" t="s">
        <v>25</v>
      </c>
      <c r="D41" s="38"/>
    </row>
    <row r="42" spans="1:15" ht="15" customHeight="1">
      <c r="A42" s="244" t="s">
        <v>39</v>
      </c>
      <c r="B42" s="244"/>
      <c r="C42" s="40" t="s">
        <v>40</v>
      </c>
      <c r="D42" s="38"/>
    </row>
    <row r="43" spans="1:15" ht="15" customHeight="1">
      <c r="A43" s="244" t="s">
        <v>8</v>
      </c>
      <c r="B43" s="244"/>
      <c r="C43" s="40" t="s">
        <v>11</v>
      </c>
      <c r="D43" s="38"/>
    </row>
    <row r="44" spans="1:15">
      <c r="A44" s="244" t="s">
        <v>32</v>
      </c>
      <c r="B44" s="244"/>
      <c r="C44" s="40" t="s">
        <v>33</v>
      </c>
      <c r="D44" s="38"/>
    </row>
    <row r="45" spans="1:15">
      <c r="A45" s="245" t="s">
        <v>36</v>
      </c>
      <c r="B45" s="245"/>
      <c r="C45" s="41" t="s">
        <v>37</v>
      </c>
      <c r="D45" s="39"/>
      <c r="E45" s="39"/>
      <c r="F45" s="39"/>
      <c r="G45" s="39"/>
      <c r="H45" s="39"/>
      <c r="I45" s="39"/>
    </row>
    <row r="48" spans="1:15">
      <c r="C48" s="161" t="s">
        <v>232</v>
      </c>
      <c r="D48" s="241" t="s">
        <v>228</v>
      </c>
      <c r="E48" s="241"/>
      <c r="F48" s="241"/>
      <c r="G48" s="241"/>
      <c r="H48" s="241"/>
      <c r="I48" s="241"/>
    </row>
    <row r="49" spans="3:9">
      <c r="C49" s="161" t="str">
        <f>Planilha1!A25</f>
        <v>VINÍCIUS MODESTO COSTA MATOS</v>
      </c>
      <c r="D49" s="241" t="s">
        <v>229</v>
      </c>
      <c r="E49" s="241"/>
      <c r="F49" s="241"/>
      <c r="G49" s="241"/>
      <c r="H49" s="241"/>
      <c r="I49" s="241"/>
    </row>
    <row r="50" spans="3:9">
      <c r="C50" s="161" t="str">
        <f>Planilha1!A26</f>
        <v>Eng. Civil - CREA MG-219.180/D</v>
      </c>
      <c r="D50" s="241" t="s">
        <v>230</v>
      </c>
      <c r="E50" s="241"/>
      <c r="F50" s="241"/>
      <c r="G50" s="241"/>
      <c r="H50" s="241"/>
      <c r="I50" s="241"/>
    </row>
  </sheetData>
  <mergeCells count="64">
    <mergeCell ref="L31:O31"/>
    <mergeCell ref="L32:O32"/>
    <mergeCell ref="L33:O33"/>
    <mergeCell ref="L34:O34"/>
    <mergeCell ref="L26:O26"/>
    <mergeCell ref="L27:O27"/>
    <mergeCell ref="L28:O28"/>
    <mergeCell ref="L29:O29"/>
    <mergeCell ref="L30:O30"/>
    <mergeCell ref="L21:O21"/>
    <mergeCell ref="L22:O22"/>
    <mergeCell ref="L23:O23"/>
    <mergeCell ref="L24:O24"/>
    <mergeCell ref="L25:O25"/>
    <mergeCell ref="L17:O17"/>
    <mergeCell ref="L18:O18"/>
    <mergeCell ref="L19:O19"/>
    <mergeCell ref="L20:O20"/>
    <mergeCell ref="H14:I14"/>
    <mergeCell ref="A1:I3"/>
    <mergeCell ref="F9:G9"/>
    <mergeCell ref="F8:G8"/>
    <mergeCell ref="F11:G11"/>
    <mergeCell ref="A6:E6"/>
    <mergeCell ref="I6:I11"/>
    <mergeCell ref="I4:I5"/>
    <mergeCell ref="A4:E5"/>
    <mergeCell ref="A7:E7"/>
    <mergeCell ref="A8:E8"/>
    <mergeCell ref="A11:E11"/>
    <mergeCell ref="A9:E10"/>
    <mergeCell ref="F4:H4"/>
    <mergeCell ref="F5:G5"/>
    <mergeCell ref="F6:G6"/>
    <mergeCell ref="F7:G7"/>
    <mergeCell ref="B16:C16"/>
    <mergeCell ref="B18:C18"/>
    <mergeCell ref="B21:C21"/>
    <mergeCell ref="B25:C25"/>
    <mergeCell ref="E13:E15"/>
    <mergeCell ref="D13:D15"/>
    <mergeCell ref="C13:C15"/>
    <mergeCell ref="B13:B15"/>
    <mergeCell ref="H13:I13"/>
    <mergeCell ref="A13:A15"/>
    <mergeCell ref="F13:G13"/>
    <mergeCell ref="F14:G14"/>
    <mergeCell ref="A12:I12"/>
    <mergeCell ref="D48:I48"/>
    <mergeCell ref="D49:I49"/>
    <mergeCell ref="D50:I50"/>
    <mergeCell ref="F10:G10"/>
    <mergeCell ref="A41:B41"/>
    <mergeCell ref="A45:B45"/>
    <mergeCell ref="A43:B43"/>
    <mergeCell ref="A44:B44"/>
    <mergeCell ref="A42:B42"/>
    <mergeCell ref="A39:B39"/>
    <mergeCell ref="A38:B38"/>
    <mergeCell ref="A37:B37"/>
    <mergeCell ref="B28:C28"/>
    <mergeCell ref="A40:B40"/>
    <mergeCell ref="A36:B36"/>
    <mergeCell ref="A35:I35"/>
  </mergeCells>
  <phoneticPr fontId="0" type="noConversion"/>
  <dataValidations disablePrompts="1" count="1">
    <dataValidation type="list" allowBlank="1" showInputMessage="1" showErrorMessage="1" sqref="F6:G11">
      <formula1>"COPASA,CEMIG,DEER-MG,DNIT,SETOP_Central,SETOP_Jequitinhonha,SETOP_Leste,SETOP_Norte,SETOP_Sul,SETOP_Triângulo,SINAPI,SUDECAP"</formula1>
    </dataValidation>
  </dataValidations>
  <printOptions horizontalCentered="1"/>
  <pageMargins left="0.59055118110236227" right="0.59055118110236227" top="0.78740157480314965" bottom="0.59055118110236227" header="0.19685039370078741" footer="0.19685039370078741"/>
  <pageSetup paperSize="9" scale="69" fitToHeight="0" orientation="landscape" r:id="rId1"/>
  <headerFooter differentFirst="1" alignWithMargins="0">
    <oddFooter>&amp;C_________________________________________Responsável Técnico&amp;RPágina &amp;P de &amp;N</oddFooter>
    <firstFooter>&amp;RPágina &amp;P de &amp;N</first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53"/>
  <sheetViews>
    <sheetView topLeftCell="A134" workbookViewId="0">
      <selection activeCell="B4" sqref="B4:N6"/>
    </sheetView>
  </sheetViews>
  <sheetFormatPr defaultRowHeight="12.75"/>
  <cols>
    <col min="9" max="9" width="5" customWidth="1"/>
    <col min="10" max="10" width="9.140625" hidden="1" customWidth="1"/>
    <col min="11" max="11" width="6.28515625" hidden="1" customWidth="1"/>
    <col min="12" max="13" width="9.140625" hidden="1" customWidth="1"/>
    <col min="14" max="14" width="3" customWidth="1"/>
    <col min="15" max="15" width="5.42578125" customWidth="1"/>
    <col min="16" max="16" width="9.140625" hidden="1" customWidth="1"/>
    <col min="17" max="17" width="9.140625" customWidth="1"/>
    <col min="18" max="18" width="1.42578125" customWidth="1"/>
    <col min="19" max="19" width="9.140625" hidden="1" customWidth="1"/>
    <col min="27" max="27" width="6.42578125" customWidth="1"/>
    <col min="28" max="30" width="9.140625" hidden="1" customWidth="1"/>
    <col min="31" max="31" width="3.42578125" hidden="1" customWidth="1"/>
    <col min="32" max="35" width="9.140625" hidden="1" customWidth="1"/>
  </cols>
  <sheetData>
    <row r="1" spans="1:36" ht="12.75" customHeight="1">
      <c r="A1" s="341"/>
      <c r="B1" s="341"/>
      <c r="C1" s="341"/>
      <c r="D1" s="341" t="s">
        <v>225</v>
      </c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  <c r="U1" s="341"/>
      <c r="V1" s="341"/>
      <c r="W1" s="341"/>
      <c r="X1" s="341"/>
      <c r="Y1" s="341"/>
      <c r="Z1" s="341"/>
      <c r="AA1" s="342"/>
      <c r="AB1" s="143"/>
      <c r="AC1" s="143"/>
      <c r="AD1" s="143"/>
      <c r="AE1" s="143"/>
      <c r="AF1" s="143"/>
      <c r="AG1" s="143"/>
      <c r="AH1" s="143"/>
      <c r="AI1" s="144"/>
      <c r="AJ1" s="141"/>
    </row>
    <row r="2" spans="1:36" ht="12.75" customHeight="1">
      <c r="A2" s="341"/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341"/>
      <c r="R2" s="341"/>
      <c r="S2" s="341"/>
      <c r="T2" s="341"/>
      <c r="U2" s="341"/>
      <c r="V2" s="341"/>
      <c r="W2" s="341"/>
      <c r="X2" s="341"/>
      <c r="Y2" s="341"/>
      <c r="Z2" s="341"/>
      <c r="AA2" s="342"/>
      <c r="AB2" s="145"/>
      <c r="AC2" s="145"/>
      <c r="AD2" s="145"/>
      <c r="AE2" s="145"/>
      <c r="AF2" s="145"/>
      <c r="AG2" s="145"/>
      <c r="AH2" s="145"/>
      <c r="AI2" s="146"/>
      <c r="AJ2" s="141"/>
    </row>
    <row r="3" spans="1:36" ht="27" customHeight="1">
      <c r="A3" s="343"/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4"/>
      <c r="AB3" s="145"/>
      <c r="AC3" s="145"/>
      <c r="AD3" s="145"/>
      <c r="AE3" s="145"/>
      <c r="AF3" s="145"/>
      <c r="AG3" s="145"/>
      <c r="AH3" s="145"/>
      <c r="AI3" s="146"/>
      <c r="AJ3" s="141"/>
    </row>
    <row r="4" spans="1:36" ht="12.75" customHeight="1">
      <c r="A4" s="313" t="s">
        <v>121</v>
      </c>
      <c r="B4" s="314" t="s">
        <v>122</v>
      </c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 t="s">
        <v>123</v>
      </c>
      <c r="P4" s="314"/>
      <c r="Q4" s="314" t="s">
        <v>124</v>
      </c>
      <c r="R4" s="314"/>
      <c r="S4" s="314"/>
      <c r="T4" s="314" t="s">
        <v>125</v>
      </c>
      <c r="U4" s="314"/>
      <c r="V4" s="314"/>
      <c r="W4" s="314"/>
      <c r="X4" s="314"/>
      <c r="Y4" s="314"/>
      <c r="Z4" s="314"/>
      <c r="AA4" s="314"/>
      <c r="AB4" s="314"/>
      <c r="AC4" s="314"/>
      <c r="AD4" s="314"/>
      <c r="AE4" s="314"/>
      <c r="AF4" s="314"/>
      <c r="AG4" s="314"/>
      <c r="AH4" s="314"/>
      <c r="AI4" s="314"/>
      <c r="AJ4" s="141"/>
    </row>
    <row r="5" spans="1:36">
      <c r="A5" s="313"/>
      <c r="B5" s="314"/>
      <c r="C5" s="314"/>
      <c r="D5" s="314"/>
      <c r="E5" s="314"/>
      <c r="F5" s="314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314"/>
      <c r="S5" s="314"/>
      <c r="T5" s="314"/>
      <c r="U5" s="314"/>
      <c r="V5" s="314"/>
      <c r="W5" s="314"/>
      <c r="X5" s="314"/>
      <c r="Y5" s="314"/>
      <c r="Z5" s="314"/>
      <c r="AA5" s="314"/>
      <c r="AB5" s="314"/>
      <c r="AC5" s="314"/>
      <c r="AD5" s="314"/>
      <c r="AE5" s="314"/>
      <c r="AF5" s="314"/>
      <c r="AG5" s="314"/>
      <c r="AH5" s="314"/>
      <c r="AI5" s="314"/>
      <c r="AJ5" s="141"/>
    </row>
    <row r="6" spans="1:36">
      <c r="A6" s="313"/>
      <c r="B6" s="314"/>
      <c r="C6" s="314"/>
      <c r="D6" s="314"/>
      <c r="E6" s="314"/>
      <c r="F6" s="314"/>
      <c r="G6" s="314"/>
      <c r="H6" s="314"/>
      <c r="I6" s="314"/>
      <c r="J6" s="314"/>
      <c r="K6" s="314"/>
      <c r="L6" s="314"/>
      <c r="M6" s="314"/>
      <c r="N6" s="314"/>
      <c r="O6" s="314"/>
      <c r="P6" s="314"/>
      <c r="Q6" s="314"/>
      <c r="R6" s="314"/>
      <c r="S6" s="314"/>
      <c r="T6" s="314"/>
      <c r="U6" s="314"/>
      <c r="V6" s="314"/>
      <c r="W6" s="314"/>
      <c r="X6" s="314"/>
      <c r="Y6" s="314"/>
      <c r="Z6" s="314"/>
      <c r="AA6" s="314"/>
      <c r="AB6" s="314"/>
      <c r="AC6" s="314"/>
      <c r="AD6" s="314"/>
      <c r="AE6" s="314"/>
      <c r="AF6" s="314"/>
      <c r="AG6" s="314"/>
      <c r="AH6" s="314"/>
      <c r="AI6" s="314"/>
      <c r="AJ6" s="141"/>
    </row>
    <row r="7" spans="1:36">
      <c r="A7" s="147"/>
      <c r="B7" s="319"/>
      <c r="C7" s="319"/>
      <c r="D7" s="319"/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20"/>
      <c r="P7" s="320"/>
      <c r="Q7" s="321"/>
      <c r="R7" s="321"/>
      <c r="S7" s="321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2"/>
      <c r="AH7" s="322"/>
      <c r="AI7" s="322"/>
      <c r="AJ7" s="141"/>
    </row>
    <row r="8" spans="1:36" ht="12.75" customHeight="1">
      <c r="A8" s="148">
        <v>1</v>
      </c>
      <c r="B8" s="323" t="str">
        <f>'Planilha Orçamentária BDMG'!B16:C16</f>
        <v>INSTALAÇÕES INICIAIS DA OBRA</v>
      </c>
      <c r="C8" s="323"/>
      <c r="D8" s="323"/>
      <c r="E8" s="323"/>
      <c r="F8" s="323"/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4"/>
      <c r="U8" s="324"/>
      <c r="V8" s="324"/>
      <c r="W8" s="324"/>
      <c r="X8" s="324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141"/>
    </row>
    <row r="9" spans="1:36" ht="50.25" customHeight="1">
      <c r="A9" s="149" t="s">
        <v>48</v>
      </c>
      <c r="B9" s="315" t="str">
        <f>'Planilha Orçamentária BDMG'!C17</f>
        <v>FORNECIMENTOECOLOCAÇÃODEPLACADEOBRAEMCHAPAGALVANIZADA(3,00X1,50M)-EMCHAPAGALVANIZADA0,26AFIXADASCOMREBITES540EPARAFUSOS3/8,EMESTRUTURAMETÁLICAVIGAU2"ENRIJECIDACOMMETALON20X20,SUPORTEEM EUCALIPTO AUTOCLAVADO PINTADAS</v>
      </c>
      <c r="C9" s="315"/>
      <c r="D9" s="315"/>
      <c r="E9" s="315"/>
      <c r="F9" s="315"/>
      <c r="G9" s="315"/>
      <c r="H9" s="315"/>
      <c r="I9" s="315"/>
      <c r="J9" s="315"/>
      <c r="K9" s="315"/>
      <c r="L9" s="315"/>
      <c r="M9" s="315"/>
      <c r="N9" s="315"/>
      <c r="O9" s="315" t="str">
        <f>'Planilha Orçamentária BDMG'!D17</f>
        <v>Unid.</v>
      </c>
      <c r="P9" s="315"/>
      <c r="Q9" s="316">
        <v>1</v>
      </c>
      <c r="R9" s="316"/>
      <c r="S9" s="316"/>
      <c r="T9" s="317" t="s">
        <v>158</v>
      </c>
      <c r="U9" s="317"/>
      <c r="V9" s="317"/>
      <c r="W9" s="317"/>
      <c r="X9" s="317"/>
      <c r="Y9" s="317"/>
      <c r="Z9" s="317"/>
      <c r="AA9" s="317"/>
      <c r="AB9" s="317"/>
      <c r="AC9" s="317"/>
      <c r="AD9" s="317"/>
      <c r="AE9" s="317"/>
      <c r="AF9" s="317"/>
      <c r="AG9" s="317"/>
      <c r="AH9" s="317"/>
      <c r="AI9" s="317"/>
      <c r="AJ9" s="141"/>
    </row>
    <row r="10" spans="1:36" ht="19.5" customHeight="1">
      <c r="A10" s="325" t="str">
        <f>Planilha1!B5</f>
        <v>Rua josé de Almeida</v>
      </c>
      <c r="B10" s="325"/>
      <c r="C10" s="325"/>
      <c r="D10" s="325"/>
      <c r="E10" s="325"/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25"/>
      <c r="S10" s="325"/>
      <c r="T10" s="325"/>
      <c r="U10" s="325"/>
      <c r="V10" s="325"/>
      <c r="W10" s="325"/>
      <c r="X10" s="325"/>
      <c r="Y10" s="325"/>
      <c r="Z10" s="325"/>
      <c r="AA10" s="325"/>
      <c r="AB10" s="150"/>
      <c r="AC10" s="150"/>
      <c r="AD10" s="150"/>
      <c r="AE10" s="150"/>
      <c r="AF10" s="150"/>
      <c r="AG10" s="150"/>
      <c r="AH10" s="150"/>
      <c r="AI10" s="150"/>
      <c r="AJ10" s="141"/>
    </row>
    <row r="11" spans="1:36" ht="12.75" customHeight="1">
      <c r="A11" s="151">
        <v>2</v>
      </c>
      <c r="B11" s="332" t="str">
        <f>'Planilha Orçamentária BDMG'!B18:C18</f>
        <v>PAVIMENTAÇÃO</v>
      </c>
      <c r="C11" s="333"/>
      <c r="D11" s="333"/>
      <c r="E11" s="333"/>
      <c r="F11" s="333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4"/>
      <c r="AJ11" s="141"/>
    </row>
    <row r="12" spans="1:36" ht="19.5" customHeight="1">
      <c r="A12" s="152" t="s">
        <v>52</v>
      </c>
      <c r="B12" s="315" t="str">
        <f>'Planilha Orçamentária BDMG'!C19</f>
        <v>REGULARIZAÇÃO DO SUB-LEITO (PROCTOR NORMAL)</v>
      </c>
      <c r="C12" s="315"/>
      <c r="D12" s="315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318" t="s">
        <v>54</v>
      </c>
      <c r="P12" s="318"/>
      <c r="Q12" s="316">
        <f>100*6.4</f>
        <v>640</v>
      </c>
      <c r="R12" s="316"/>
      <c r="S12" s="316"/>
      <c r="T12" s="317" t="s">
        <v>160</v>
      </c>
      <c r="U12" s="317"/>
      <c r="V12" s="317"/>
      <c r="W12" s="317"/>
      <c r="X12" s="317"/>
      <c r="Y12" s="317"/>
      <c r="Z12" s="317"/>
      <c r="AA12" s="317"/>
      <c r="AB12" s="317"/>
      <c r="AC12" s="317"/>
      <c r="AD12" s="317"/>
      <c r="AE12" s="317"/>
      <c r="AF12" s="317"/>
      <c r="AG12" s="317"/>
      <c r="AH12" s="317"/>
      <c r="AI12" s="317"/>
      <c r="AJ12" s="141"/>
    </row>
    <row r="13" spans="1:36" ht="38.25" customHeight="1">
      <c r="A13" s="149" t="s">
        <v>126</v>
      </c>
      <c r="B13" s="315" t="str">
        <f>'Planilha Orçamentária BDMG'!C20</f>
        <v>EXECUÇÃODECALÇAMENTOEMBLOQUETE-E=8CM - FCK=35MPA,INCLUINDOFORNECIMENTOETRANSPORTEDETODOSOSMATERIAIS, COLCHÃO DE ASSENTAMENTO E = 6 CM</v>
      </c>
      <c r="C13" s="315"/>
      <c r="D13" s="315"/>
      <c r="E13" s="315"/>
      <c r="F13" s="315"/>
      <c r="G13" s="315"/>
      <c r="H13" s="315"/>
      <c r="I13" s="315"/>
      <c r="J13" s="315"/>
      <c r="K13" s="315"/>
      <c r="L13" s="315"/>
      <c r="M13" s="315"/>
      <c r="N13" s="315"/>
      <c r="O13" s="318" t="s">
        <v>54</v>
      </c>
      <c r="P13" s="318"/>
      <c r="Q13" s="316">
        <f>100*6.4</f>
        <v>640</v>
      </c>
      <c r="R13" s="316"/>
      <c r="S13" s="316"/>
      <c r="T13" s="317" t="s">
        <v>160</v>
      </c>
      <c r="U13" s="317"/>
      <c r="V13" s="317"/>
      <c r="W13" s="317"/>
      <c r="X13" s="317"/>
      <c r="Y13" s="317"/>
      <c r="Z13" s="317"/>
      <c r="AA13" s="317"/>
      <c r="AB13" s="317"/>
      <c r="AC13" s="317"/>
      <c r="AD13" s="317"/>
      <c r="AE13" s="317"/>
      <c r="AF13" s="317"/>
      <c r="AG13" s="317"/>
      <c r="AH13" s="317"/>
      <c r="AI13" s="317"/>
      <c r="AJ13" s="141"/>
    </row>
    <row r="14" spans="1:36" ht="12.75" customHeight="1">
      <c r="A14" s="152" t="s">
        <v>55</v>
      </c>
      <c r="B14" s="329" t="str">
        <f>'Planilha Orçamentária BDMG'!B21:C21</f>
        <v>CALÇADAS</v>
      </c>
      <c r="C14" s="330"/>
      <c r="D14" s="330"/>
      <c r="E14" s="330"/>
      <c r="F14" s="330"/>
      <c r="G14" s="330"/>
      <c r="H14" s="330"/>
      <c r="I14" s="330"/>
      <c r="J14" s="330"/>
      <c r="K14" s="330"/>
      <c r="L14" s="330"/>
      <c r="M14" s="330"/>
      <c r="N14" s="330"/>
      <c r="O14" s="330"/>
      <c r="P14" s="330"/>
      <c r="Q14" s="330"/>
      <c r="R14" s="330"/>
      <c r="S14" s="330"/>
      <c r="T14" s="330"/>
      <c r="U14" s="330"/>
      <c r="V14" s="330"/>
      <c r="W14" s="330"/>
      <c r="X14" s="330"/>
      <c r="Y14" s="330"/>
      <c r="Z14" s="330"/>
      <c r="AA14" s="330"/>
      <c r="AB14" s="330"/>
      <c r="AC14" s="330"/>
      <c r="AD14" s="330"/>
      <c r="AE14" s="330"/>
      <c r="AF14" s="330"/>
      <c r="AG14" s="330"/>
      <c r="AH14" s="330"/>
      <c r="AI14" s="331"/>
      <c r="AJ14" s="141"/>
    </row>
    <row r="15" spans="1:36" ht="24.75" customHeight="1">
      <c r="A15" s="149" t="s">
        <v>127</v>
      </c>
      <c r="B15" s="315" t="str">
        <f>'Planilha Orçamentária BDMG'!C22</f>
        <v>EXECUÇÃO DE PASSEIO (CALÇADA) COM CONCRETO MOLDADO IN LOCO FEITO EM OBRA, ACABAMENTO CONVENCIONAL, NÃO ARMADO</v>
      </c>
      <c r="C15" s="315"/>
      <c r="D15" s="315"/>
      <c r="E15" s="315"/>
      <c r="F15" s="315"/>
      <c r="G15" s="315"/>
      <c r="H15" s="315"/>
      <c r="I15" s="315"/>
      <c r="J15" s="315"/>
      <c r="K15" s="315"/>
      <c r="L15" s="315"/>
      <c r="M15" s="315"/>
      <c r="N15" s="315"/>
      <c r="O15" s="318" t="s">
        <v>128</v>
      </c>
      <c r="P15" s="318"/>
      <c r="Q15" s="316">
        <f>200*1.5*0.07</f>
        <v>21.000000000000004</v>
      </c>
      <c r="R15" s="316"/>
      <c r="S15" s="316"/>
      <c r="T15" s="317" t="s">
        <v>161</v>
      </c>
      <c r="U15" s="317"/>
      <c r="V15" s="317"/>
      <c r="W15" s="317"/>
      <c r="X15" s="317"/>
      <c r="Y15" s="317"/>
      <c r="Z15" s="317"/>
      <c r="AA15" s="317"/>
      <c r="AB15" s="317"/>
      <c r="AC15" s="317"/>
      <c r="AD15" s="317"/>
      <c r="AE15" s="317"/>
      <c r="AF15" s="317"/>
      <c r="AG15" s="317"/>
      <c r="AH15" s="317"/>
      <c r="AI15" s="317"/>
      <c r="AJ15" s="141"/>
    </row>
    <row r="16" spans="1:36" ht="12.75" customHeight="1">
      <c r="A16" s="149" t="s">
        <v>129</v>
      </c>
      <c r="B16" s="315" t="str">
        <f>'Planilha Orçamentária BDMG'!C23</f>
        <v>LADRILHO HIDRAULICO AMARELO 20X20 (DIRECIONAL)</v>
      </c>
      <c r="C16" s="315"/>
      <c r="D16" s="315"/>
      <c r="E16" s="315"/>
      <c r="F16" s="315"/>
      <c r="G16" s="315"/>
      <c r="H16" s="315"/>
      <c r="I16" s="315"/>
      <c r="J16" s="315"/>
      <c r="K16" s="315"/>
      <c r="L16" s="315"/>
      <c r="M16" s="315"/>
      <c r="N16" s="315"/>
      <c r="O16" s="318" t="s">
        <v>65</v>
      </c>
      <c r="P16" s="318"/>
      <c r="Q16" s="316">
        <f>(200-12)*0.2</f>
        <v>37.6</v>
      </c>
      <c r="R16" s="316"/>
      <c r="S16" s="316"/>
      <c r="T16" s="317" t="s">
        <v>162</v>
      </c>
      <c r="U16" s="317"/>
      <c r="V16" s="317"/>
      <c r="W16" s="317"/>
      <c r="X16" s="317"/>
      <c r="Y16" s="317"/>
      <c r="Z16" s="317"/>
      <c r="AA16" s="317"/>
      <c r="AB16" s="317"/>
      <c r="AC16" s="317"/>
      <c r="AD16" s="317"/>
      <c r="AE16" s="317"/>
      <c r="AF16" s="317"/>
      <c r="AG16" s="317"/>
      <c r="AH16" s="317"/>
      <c r="AI16" s="317"/>
      <c r="AJ16" s="141"/>
    </row>
    <row r="17" spans="1:36" ht="12.75" customHeight="1">
      <c r="A17" s="149" t="s">
        <v>130</v>
      </c>
      <c r="B17" s="315" t="str">
        <f>'Planilha Orçamentária BDMG'!C24</f>
        <v>LADRILHO HIDRAULICO VERMELHO 20X20 (ALERTA)</v>
      </c>
      <c r="C17" s="315"/>
      <c r="D17" s="315"/>
      <c r="E17" s="315"/>
      <c r="F17" s="315"/>
      <c r="G17" s="315"/>
      <c r="H17" s="315"/>
      <c r="I17" s="315"/>
      <c r="J17" s="315"/>
      <c r="K17" s="315"/>
      <c r="L17" s="315"/>
      <c r="M17" s="315"/>
      <c r="N17" s="315"/>
      <c r="O17" s="318" t="s">
        <v>65</v>
      </c>
      <c r="P17" s="318"/>
      <c r="Q17" s="316">
        <f>12.2*0.2</f>
        <v>2.44</v>
      </c>
      <c r="R17" s="316"/>
      <c r="S17" s="316"/>
      <c r="T17" s="317" t="s">
        <v>202</v>
      </c>
      <c r="U17" s="317"/>
      <c r="V17" s="317"/>
      <c r="W17" s="317"/>
      <c r="X17" s="317"/>
      <c r="Y17" s="317"/>
      <c r="Z17" s="317"/>
      <c r="AA17" s="317"/>
      <c r="AB17" s="317"/>
      <c r="AC17" s="317"/>
      <c r="AD17" s="317"/>
      <c r="AE17" s="317"/>
      <c r="AF17" s="317"/>
      <c r="AG17" s="317"/>
      <c r="AH17" s="317"/>
      <c r="AI17" s="317"/>
      <c r="AJ17" s="141"/>
    </row>
    <row r="18" spans="1:36" ht="12.75" customHeight="1">
      <c r="A18" s="152" t="s">
        <v>131</v>
      </c>
      <c r="B18" s="329" t="str">
        <f>'Planilha Orçamentária BDMG'!B25:C25</f>
        <v>MEIO FIO E SARJETA</v>
      </c>
      <c r="C18" s="330"/>
      <c r="D18" s="330"/>
      <c r="E18" s="330"/>
      <c r="F18" s="330"/>
      <c r="G18" s="330"/>
      <c r="H18" s="330"/>
      <c r="I18" s="330"/>
      <c r="J18" s="330"/>
      <c r="K18" s="330"/>
      <c r="L18" s="330"/>
      <c r="M18" s="330"/>
      <c r="N18" s="330"/>
      <c r="O18" s="330"/>
      <c r="P18" s="330"/>
      <c r="Q18" s="330"/>
      <c r="R18" s="330"/>
      <c r="S18" s="330"/>
      <c r="T18" s="330"/>
      <c r="U18" s="330"/>
      <c r="V18" s="330"/>
      <c r="W18" s="330"/>
      <c r="X18" s="330"/>
      <c r="Y18" s="330"/>
      <c r="Z18" s="330"/>
      <c r="AA18" s="330"/>
      <c r="AB18" s="330"/>
      <c r="AC18" s="330"/>
      <c r="AD18" s="330"/>
      <c r="AE18" s="330"/>
      <c r="AF18" s="330"/>
      <c r="AG18" s="330"/>
      <c r="AH18" s="330"/>
      <c r="AI18" s="331"/>
      <c r="AJ18" s="141"/>
    </row>
    <row r="19" spans="1:36" ht="37.5" customHeight="1">
      <c r="A19" s="149" t="s">
        <v>132</v>
      </c>
      <c r="B19" s="315" t="str">
        <f>'Planilha Orçamentária BDMG'!C26</f>
        <v>ASSENTAMENTO DE GUIA (MEIO-FIO) EM TRECHO RETO, CONFECCIONADA EM CONCRETOPRÉ-FABRICADO, DIMENSÕES 100X15X13X30 CM (COMPRIMENTO X BASE INFERIOR X BASE SUPERIOR X ALTURA), PARA VIAS URBANAS (USO VIÁRIO)</v>
      </c>
      <c r="C19" s="315"/>
      <c r="D19" s="315"/>
      <c r="E19" s="315"/>
      <c r="F19" s="315"/>
      <c r="G19" s="315"/>
      <c r="H19" s="315"/>
      <c r="I19" s="315"/>
      <c r="J19" s="315"/>
      <c r="K19" s="315"/>
      <c r="L19" s="315"/>
      <c r="M19" s="315"/>
      <c r="N19" s="315"/>
      <c r="O19" s="318" t="s">
        <v>65</v>
      </c>
      <c r="P19" s="318"/>
      <c r="Q19" s="316">
        <f>100*2</f>
        <v>200</v>
      </c>
      <c r="R19" s="316"/>
      <c r="S19" s="316"/>
      <c r="T19" s="317" t="s">
        <v>163</v>
      </c>
      <c r="U19" s="317"/>
      <c r="V19" s="317"/>
      <c r="W19" s="317"/>
      <c r="X19" s="317"/>
      <c r="Y19" s="317"/>
      <c r="Z19" s="317"/>
      <c r="AA19" s="317"/>
      <c r="AB19" s="317"/>
      <c r="AC19" s="317"/>
      <c r="AD19" s="317"/>
      <c r="AE19" s="317"/>
      <c r="AF19" s="317"/>
      <c r="AG19" s="317"/>
      <c r="AH19" s="317"/>
      <c r="AI19" s="317"/>
      <c r="AJ19" s="141"/>
    </row>
    <row r="20" spans="1:36" ht="28.5" customHeight="1">
      <c r="A20" s="149" t="s">
        <v>133</v>
      </c>
      <c r="B20" s="315" t="str">
        <f>'Planilha Orçamentária BDMG'!C27</f>
        <v>30 CM BASE X 10 CM ALTURA EXECUÇÃO DE SARJETA DE CONCRETO USINADO, MOLDADA IN LOCO EM TRECHO RETO</v>
      </c>
      <c r="C20" s="315"/>
      <c r="D20" s="315"/>
      <c r="E20" s="315"/>
      <c r="F20" s="315"/>
      <c r="G20" s="315"/>
      <c r="H20" s="315"/>
      <c r="I20" s="315"/>
      <c r="J20" s="315"/>
      <c r="K20" s="315"/>
      <c r="L20" s="315"/>
      <c r="M20" s="315"/>
      <c r="N20" s="315"/>
      <c r="O20" s="318" t="s">
        <v>65</v>
      </c>
      <c r="P20" s="318"/>
      <c r="Q20" s="316">
        <f>100*2</f>
        <v>200</v>
      </c>
      <c r="R20" s="316"/>
      <c r="S20" s="316"/>
      <c r="T20" s="317" t="s">
        <v>163</v>
      </c>
      <c r="U20" s="317"/>
      <c r="V20" s="317"/>
      <c r="W20" s="317"/>
      <c r="X20" s="317"/>
      <c r="Y20" s="317"/>
      <c r="Z20" s="317"/>
      <c r="AA20" s="317"/>
      <c r="AB20" s="317"/>
      <c r="AC20" s="317"/>
      <c r="AD20" s="317"/>
      <c r="AE20" s="317"/>
      <c r="AF20" s="317"/>
      <c r="AG20" s="317"/>
      <c r="AH20" s="317"/>
      <c r="AI20" s="317"/>
      <c r="AJ20" s="141"/>
    </row>
    <row r="21" spans="1:36" ht="12.75" customHeight="1">
      <c r="A21" s="325" t="str">
        <f>Planilha1!B6</f>
        <v>Rua José Ferreira Costa</v>
      </c>
      <c r="B21" s="325"/>
      <c r="C21" s="325"/>
      <c r="D21" s="325"/>
      <c r="E21" s="325"/>
      <c r="F21" s="325"/>
      <c r="G21" s="325"/>
      <c r="H21" s="325"/>
      <c r="I21" s="325"/>
      <c r="J21" s="325"/>
      <c r="K21" s="325"/>
      <c r="L21" s="325"/>
      <c r="M21" s="325"/>
      <c r="N21" s="325"/>
      <c r="O21" s="325"/>
      <c r="P21" s="325"/>
      <c r="Q21" s="325"/>
      <c r="R21" s="325"/>
      <c r="S21" s="325"/>
      <c r="T21" s="325"/>
      <c r="U21" s="325"/>
      <c r="V21" s="325"/>
      <c r="W21" s="325"/>
      <c r="X21" s="325"/>
      <c r="Y21" s="325"/>
      <c r="Z21" s="325"/>
      <c r="AA21" s="325"/>
      <c r="AB21" s="150"/>
      <c r="AC21" s="150"/>
      <c r="AD21" s="150"/>
      <c r="AE21" s="150"/>
      <c r="AF21" s="150"/>
      <c r="AG21" s="150"/>
      <c r="AH21" s="150"/>
      <c r="AI21" s="150"/>
      <c r="AJ21" s="141"/>
    </row>
    <row r="22" spans="1:36" ht="12.75" customHeight="1">
      <c r="A22" s="151">
        <v>2</v>
      </c>
      <c r="B22" s="332" t="str">
        <f>B11</f>
        <v>PAVIMENTAÇÃO</v>
      </c>
      <c r="C22" s="333"/>
      <c r="D22" s="333"/>
      <c r="E22" s="333"/>
      <c r="F22" s="333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4"/>
      <c r="AJ22" s="141"/>
    </row>
    <row r="23" spans="1:36" ht="12.75" customHeight="1">
      <c r="A23" s="149" t="s">
        <v>52</v>
      </c>
      <c r="B23" s="315" t="str">
        <f>B12</f>
        <v>REGULARIZAÇÃO DO SUB-LEITO (PROCTOR NORMAL)</v>
      </c>
      <c r="C23" s="315"/>
      <c r="D23" s="315"/>
      <c r="E23" s="315"/>
      <c r="F23" s="315"/>
      <c r="G23" s="315"/>
      <c r="H23" s="315"/>
      <c r="I23" s="315"/>
      <c r="J23" s="315"/>
      <c r="K23" s="315"/>
      <c r="L23" s="315"/>
      <c r="M23" s="315"/>
      <c r="N23" s="315"/>
      <c r="O23" s="318" t="s">
        <v>54</v>
      </c>
      <c r="P23" s="318"/>
      <c r="Q23" s="316">
        <f>140*6</f>
        <v>840</v>
      </c>
      <c r="R23" s="316"/>
      <c r="S23" s="316"/>
      <c r="T23" s="317" t="s">
        <v>164</v>
      </c>
      <c r="U23" s="317"/>
      <c r="V23" s="317"/>
      <c r="W23" s="317"/>
      <c r="X23" s="317"/>
      <c r="Y23" s="317"/>
      <c r="Z23" s="317"/>
      <c r="AA23" s="317"/>
      <c r="AB23" s="317"/>
      <c r="AC23" s="317"/>
      <c r="AD23" s="317"/>
      <c r="AE23" s="317"/>
      <c r="AF23" s="317"/>
      <c r="AG23" s="317"/>
      <c r="AH23" s="317"/>
      <c r="AI23" s="317"/>
      <c r="AJ23" s="141"/>
    </row>
    <row r="24" spans="1:36" ht="39.75" customHeight="1">
      <c r="A24" s="149" t="s">
        <v>55</v>
      </c>
      <c r="B24" s="315" t="str">
        <f>B13</f>
        <v>EXECUÇÃODECALÇAMENTOEMBLOQUETE-E=8CM - FCK=35MPA,INCLUINDOFORNECIMENTOETRANSPORTEDETODOSOSMATERIAIS, COLCHÃO DE ASSENTAMENTO E = 6 CM</v>
      </c>
      <c r="C24" s="315"/>
      <c r="D24" s="315"/>
      <c r="E24" s="315"/>
      <c r="F24" s="315"/>
      <c r="G24" s="315"/>
      <c r="H24" s="315"/>
      <c r="I24" s="315"/>
      <c r="J24" s="315"/>
      <c r="K24" s="315"/>
      <c r="L24" s="315"/>
      <c r="M24" s="315"/>
      <c r="N24" s="315"/>
      <c r="O24" s="318" t="s">
        <v>54</v>
      </c>
      <c r="P24" s="318"/>
      <c r="Q24" s="316">
        <f>Q23</f>
        <v>840</v>
      </c>
      <c r="R24" s="316"/>
      <c r="S24" s="316"/>
      <c r="T24" s="317" t="str">
        <f>T23</f>
        <v>comprim. * larg. (140*6,0)</v>
      </c>
      <c r="U24" s="317"/>
      <c r="V24" s="317"/>
      <c r="W24" s="317"/>
      <c r="X24" s="317"/>
      <c r="Y24" s="317"/>
      <c r="Z24" s="317"/>
      <c r="AA24" s="317"/>
      <c r="AB24" s="317"/>
      <c r="AC24" s="317"/>
      <c r="AD24" s="317"/>
      <c r="AE24" s="317"/>
      <c r="AF24" s="317"/>
      <c r="AG24" s="317"/>
      <c r="AH24" s="317"/>
      <c r="AI24" s="317"/>
      <c r="AJ24" s="141"/>
    </row>
    <row r="25" spans="1:36" ht="12.75" customHeight="1">
      <c r="A25" s="152" t="s">
        <v>55</v>
      </c>
      <c r="B25" s="329" t="str">
        <f>B14</f>
        <v>CALÇADAS</v>
      </c>
      <c r="C25" s="330"/>
      <c r="D25" s="330"/>
      <c r="E25" s="330"/>
      <c r="F25" s="330"/>
      <c r="G25" s="330"/>
      <c r="H25" s="330"/>
      <c r="I25" s="330"/>
      <c r="J25" s="330"/>
      <c r="K25" s="330"/>
      <c r="L25" s="330"/>
      <c r="M25" s="330"/>
      <c r="N25" s="330"/>
      <c r="O25" s="330"/>
      <c r="P25" s="330"/>
      <c r="Q25" s="330"/>
      <c r="R25" s="330"/>
      <c r="S25" s="330"/>
      <c r="T25" s="330"/>
      <c r="U25" s="330"/>
      <c r="V25" s="330"/>
      <c r="W25" s="330"/>
      <c r="X25" s="330"/>
      <c r="Y25" s="330"/>
      <c r="Z25" s="330"/>
      <c r="AA25" s="330"/>
      <c r="AB25" s="330"/>
      <c r="AC25" s="330"/>
      <c r="AD25" s="330"/>
      <c r="AE25" s="330"/>
      <c r="AF25" s="330"/>
      <c r="AG25" s="330"/>
      <c r="AH25" s="330"/>
      <c r="AI25" s="331"/>
      <c r="AJ25" s="141"/>
    </row>
    <row r="26" spans="1:36" ht="27" customHeight="1">
      <c r="A26" s="149" t="s">
        <v>127</v>
      </c>
      <c r="B26" s="315" t="str">
        <f t="shared" ref="B26:B31" si="0">B15</f>
        <v>EXECUÇÃO DE PASSEIO (CALÇADA) COM CONCRETO MOLDADO IN LOCO FEITO EM OBRA, ACABAMENTO CONVENCIONAL, NÃO ARMADO</v>
      </c>
      <c r="C26" s="315"/>
      <c r="D26" s="315"/>
      <c r="E26" s="315"/>
      <c r="F26" s="315"/>
      <c r="G26" s="315"/>
      <c r="H26" s="315"/>
      <c r="I26" s="315"/>
      <c r="J26" s="315"/>
      <c r="K26" s="315"/>
      <c r="L26" s="315"/>
      <c r="M26" s="315"/>
      <c r="N26" s="315"/>
      <c r="O26" s="318" t="s">
        <v>64</v>
      </c>
      <c r="P26" s="318"/>
      <c r="Q26" s="316">
        <f>280*1.5*0.07</f>
        <v>29.400000000000002</v>
      </c>
      <c r="R26" s="316"/>
      <c r="S26" s="316"/>
      <c r="T26" s="317" t="s">
        <v>165</v>
      </c>
      <c r="U26" s="317"/>
      <c r="V26" s="317"/>
      <c r="W26" s="317"/>
      <c r="X26" s="317"/>
      <c r="Y26" s="317"/>
      <c r="Z26" s="317"/>
      <c r="AA26" s="317"/>
      <c r="AB26" s="317"/>
      <c r="AC26" s="317"/>
      <c r="AD26" s="317"/>
      <c r="AE26" s="317"/>
      <c r="AF26" s="317"/>
      <c r="AG26" s="317"/>
      <c r="AH26" s="317"/>
      <c r="AI26" s="317"/>
      <c r="AJ26" s="141"/>
    </row>
    <row r="27" spans="1:36" ht="12.75" customHeight="1">
      <c r="A27" s="149" t="s">
        <v>129</v>
      </c>
      <c r="B27" s="315" t="str">
        <f t="shared" si="0"/>
        <v>LADRILHO HIDRAULICO AMARELO 20X20 (DIRECIONAL)</v>
      </c>
      <c r="C27" s="315"/>
      <c r="D27" s="315"/>
      <c r="E27" s="315"/>
      <c r="F27" s="315"/>
      <c r="G27" s="315"/>
      <c r="H27" s="315"/>
      <c r="I27" s="315"/>
      <c r="J27" s="315"/>
      <c r="K27" s="315"/>
      <c r="L27" s="315"/>
      <c r="M27" s="315"/>
      <c r="N27" s="315"/>
      <c r="O27" s="318" t="s">
        <v>65</v>
      </c>
      <c r="P27" s="318"/>
      <c r="Q27" s="316">
        <f>(280-12)*0.2</f>
        <v>53.6</v>
      </c>
      <c r="R27" s="316"/>
      <c r="S27" s="316"/>
      <c r="T27" s="317" t="s">
        <v>203</v>
      </c>
      <c r="U27" s="317"/>
      <c r="V27" s="317"/>
      <c r="W27" s="317"/>
      <c r="X27" s="317"/>
      <c r="Y27" s="317"/>
      <c r="Z27" s="317"/>
      <c r="AA27" s="317"/>
      <c r="AB27" s="317"/>
      <c r="AC27" s="317"/>
      <c r="AD27" s="317"/>
      <c r="AE27" s="317"/>
      <c r="AF27" s="317"/>
      <c r="AG27" s="317"/>
      <c r="AH27" s="317"/>
      <c r="AI27" s="317"/>
      <c r="AJ27" s="141"/>
    </row>
    <row r="28" spans="1:36" ht="13.5" customHeight="1">
      <c r="A28" s="149" t="s">
        <v>130</v>
      </c>
      <c r="B28" s="315" t="str">
        <f t="shared" si="0"/>
        <v>LADRILHO HIDRAULICO VERMELHO 20X20 (ALERTA)</v>
      </c>
      <c r="C28" s="315"/>
      <c r="D28" s="315"/>
      <c r="E28" s="315"/>
      <c r="F28" s="315"/>
      <c r="G28" s="315"/>
      <c r="H28" s="315"/>
      <c r="I28" s="315"/>
      <c r="J28" s="315"/>
      <c r="K28" s="315"/>
      <c r="L28" s="315"/>
      <c r="M28" s="315"/>
      <c r="N28" s="315"/>
      <c r="O28" s="318" t="s">
        <v>65</v>
      </c>
      <c r="P28" s="318"/>
      <c r="Q28" s="316">
        <f>12.8*0.2</f>
        <v>2.5600000000000005</v>
      </c>
      <c r="R28" s="316"/>
      <c r="S28" s="316"/>
      <c r="T28" s="317" t="s">
        <v>204</v>
      </c>
      <c r="U28" s="317"/>
      <c r="V28" s="317"/>
      <c r="W28" s="317"/>
      <c r="X28" s="317"/>
      <c r="Y28" s="317"/>
      <c r="Z28" s="317"/>
      <c r="AA28" s="317"/>
      <c r="AB28" s="317"/>
      <c r="AC28" s="317"/>
      <c r="AD28" s="317"/>
      <c r="AE28" s="317"/>
      <c r="AF28" s="317"/>
      <c r="AG28" s="317"/>
      <c r="AH28" s="317"/>
      <c r="AI28" s="317"/>
      <c r="AJ28" s="141"/>
    </row>
    <row r="29" spans="1:36" ht="12.75" customHeight="1">
      <c r="A29" s="152" t="s">
        <v>131</v>
      </c>
      <c r="B29" s="326" t="str">
        <f t="shared" si="0"/>
        <v>MEIO FIO E SARJETA</v>
      </c>
      <c r="C29" s="327"/>
      <c r="D29" s="327"/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7"/>
      <c r="Q29" s="327"/>
      <c r="R29" s="327"/>
      <c r="S29" s="327"/>
      <c r="T29" s="327"/>
      <c r="U29" s="327"/>
      <c r="V29" s="327"/>
      <c r="W29" s="327"/>
      <c r="X29" s="327"/>
      <c r="Y29" s="327"/>
      <c r="Z29" s="327"/>
      <c r="AA29" s="327"/>
      <c r="AB29" s="327"/>
      <c r="AC29" s="327"/>
      <c r="AD29" s="327"/>
      <c r="AE29" s="327"/>
      <c r="AF29" s="327"/>
      <c r="AG29" s="327"/>
      <c r="AH29" s="327"/>
      <c r="AI29" s="328"/>
      <c r="AJ29" s="141"/>
    </row>
    <row r="30" spans="1:36" ht="42" customHeight="1">
      <c r="A30" s="149" t="s">
        <v>132</v>
      </c>
      <c r="B30" s="315" t="str">
        <f t="shared" si="0"/>
        <v>ASSENTAMENTO DE GUIA (MEIO-FIO) EM TRECHO RETO, CONFECCIONADA EM CONCRETOPRÉ-FABRICADO, DIMENSÕES 100X15X13X30 CM (COMPRIMENTO X BASE INFERIOR X BASE SUPERIOR X ALTURA), PARA VIAS URBANAS (USO VIÁRIO)</v>
      </c>
      <c r="C30" s="315"/>
      <c r="D30" s="315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318" t="s">
        <v>65</v>
      </c>
      <c r="P30" s="318"/>
      <c r="Q30" s="316">
        <f>140*2</f>
        <v>280</v>
      </c>
      <c r="R30" s="316"/>
      <c r="S30" s="316"/>
      <c r="T30" s="317" t="s">
        <v>166</v>
      </c>
      <c r="U30" s="317"/>
      <c r="V30" s="317"/>
      <c r="W30" s="317"/>
      <c r="X30" s="317"/>
      <c r="Y30" s="317"/>
      <c r="Z30" s="317"/>
      <c r="AA30" s="317"/>
      <c r="AB30" s="317"/>
      <c r="AC30" s="317"/>
      <c r="AD30" s="317"/>
      <c r="AE30" s="317"/>
      <c r="AF30" s="317"/>
      <c r="AG30" s="317"/>
      <c r="AH30" s="317"/>
      <c r="AI30" s="317"/>
      <c r="AJ30" s="141"/>
    </row>
    <row r="31" spans="1:36" ht="29.25" customHeight="1">
      <c r="A31" s="149" t="s">
        <v>133</v>
      </c>
      <c r="B31" s="315" t="str">
        <f t="shared" si="0"/>
        <v>30 CM BASE X 10 CM ALTURA EXECUÇÃO DE SARJETA DE CONCRETO USINADO, MOLDADA IN LOCO EM TRECHO RETO</v>
      </c>
      <c r="C31" s="315"/>
      <c r="D31" s="315"/>
      <c r="E31" s="315"/>
      <c r="F31" s="315"/>
      <c r="G31" s="315"/>
      <c r="H31" s="315"/>
      <c r="I31" s="315"/>
      <c r="J31" s="315"/>
      <c r="K31" s="315"/>
      <c r="L31" s="315"/>
      <c r="M31" s="315"/>
      <c r="N31" s="315"/>
      <c r="O31" s="318" t="s">
        <v>65</v>
      </c>
      <c r="P31" s="318"/>
      <c r="Q31" s="316">
        <f>140*2</f>
        <v>280</v>
      </c>
      <c r="R31" s="316"/>
      <c r="S31" s="316"/>
      <c r="T31" s="317" t="s">
        <v>166</v>
      </c>
      <c r="U31" s="317"/>
      <c r="V31" s="317"/>
      <c r="W31" s="317"/>
      <c r="X31" s="317"/>
      <c r="Y31" s="317"/>
      <c r="Z31" s="317"/>
      <c r="AA31" s="317"/>
      <c r="AB31" s="317"/>
      <c r="AC31" s="317"/>
      <c r="AD31" s="317"/>
      <c r="AE31" s="317"/>
      <c r="AF31" s="317"/>
      <c r="AG31" s="317"/>
      <c r="AH31" s="317"/>
      <c r="AI31" s="317"/>
      <c r="AJ31" s="141"/>
    </row>
    <row r="32" spans="1:36" ht="12.75" customHeight="1">
      <c r="A32" s="325" t="str">
        <f>Planilha1!B7</f>
        <v>Rua Mendes Ramos</v>
      </c>
      <c r="B32" s="325"/>
      <c r="C32" s="325"/>
      <c r="D32" s="325"/>
      <c r="E32" s="325"/>
      <c r="F32" s="325"/>
      <c r="G32" s="325"/>
      <c r="H32" s="325"/>
      <c r="I32" s="325"/>
      <c r="J32" s="325"/>
      <c r="K32" s="325"/>
      <c r="L32" s="325"/>
      <c r="M32" s="325"/>
      <c r="N32" s="325"/>
      <c r="O32" s="325"/>
      <c r="P32" s="325"/>
      <c r="Q32" s="325"/>
      <c r="R32" s="325"/>
      <c r="S32" s="325"/>
      <c r="T32" s="325"/>
      <c r="U32" s="325"/>
      <c r="V32" s="325"/>
      <c r="W32" s="325"/>
      <c r="X32" s="325"/>
      <c r="Y32" s="325"/>
      <c r="Z32" s="325"/>
      <c r="AA32" s="325"/>
      <c r="AB32" s="150"/>
      <c r="AC32" s="150"/>
      <c r="AD32" s="150"/>
      <c r="AE32" s="150"/>
      <c r="AF32" s="150"/>
      <c r="AG32" s="150"/>
      <c r="AH32" s="150"/>
      <c r="AI32" s="150"/>
      <c r="AJ32" s="141"/>
    </row>
    <row r="33" spans="1:36" ht="12.75" customHeight="1">
      <c r="A33" s="151">
        <v>2</v>
      </c>
      <c r="B33" s="332" t="str">
        <f>B22</f>
        <v>PAVIMENTAÇÃO</v>
      </c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4"/>
      <c r="AJ33" s="141"/>
    </row>
    <row r="34" spans="1:36" ht="12.75" customHeight="1">
      <c r="A34" s="149" t="s">
        <v>52</v>
      </c>
      <c r="B34" s="315" t="str">
        <f>B23</f>
        <v>REGULARIZAÇÃO DO SUB-LEITO (PROCTOR NORMAL)</v>
      </c>
      <c r="C34" s="315"/>
      <c r="D34" s="315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 t="str">
        <f>O23</f>
        <v>m²</v>
      </c>
      <c r="P34" s="315"/>
      <c r="Q34" s="316">
        <f>(342*6)+(5*2*6)</f>
        <v>2112</v>
      </c>
      <c r="R34" s="316"/>
      <c r="S34" s="316"/>
      <c r="T34" s="317" t="s">
        <v>173</v>
      </c>
      <c r="U34" s="317"/>
      <c r="V34" s="317"/>
      <c r="W34" s="317"/>
      <c r="X34" s="317"/>
      <c r="Y34" s="317"/>
      <c r="Z34" s="317"/>
      <c r="AA34" s="317"/>
      <c r="AB34" s="317"/>
      <c r="AC34" s="317"/>
      <c r="AD34" s="317"/>
      <c r="AE34" s="317"/>
      <c r="AF34" s="317"/>
      <c r="AG34" s="317"/>
      <c r="AH34" s="317"/>
      <c r="AI34" s="317"/>
      <c r="AJ34" s="141"/>
    </row>
    <row r="35" spans="1:36" ht="35.25" customHeight="1">
      <c r="A35" s="149" t="s">
        <v>55</v>
      </c>
      <c r="B35" s="315" t="str">
        <f>B24</f>
        <v>EXECUÇÃODECALÇAMENTOEMBLOQUETE-E=8CM - FCK=35MPA,INCLUINDOFORNECIMENTOETRANSPORTEDETODOSOSMATERIAIS, COLCHÃO DE ASSENTAMENTO E = 6 CM</v>
      </c>
      <c r="C35" s="315"/>
      <c r="D35" s="315"/>
      <c r="E35" s="315"/>
      <c r="F35" s="315"/>
      <c r="G35" s="315"/>
      <c r="H35" s="315"/>
      <c r="I35" s="315"/>
      <c r="J35" s="315"/>
      <c r="K35" s="315"/>
      <c r="L35" s="315"/>
      <c r="M35" s="315"/>
      <c r="N35" s="315"/>
      <c r="O35" s="315" t="str">
        <f>O24</f>
        <v>m²</v>
      </c>
      <c r="P35" s="315"/>
      <c r="Q35" s="316">
        <f>Q34</f>
        <v>2112</v>
      </c>
      <c r="R35" s="316"/>
      <c r="S35" s="316"/>
      <c r="T35" s="317" t="str">
        <f>T34</f>
        <v>comprim. * larg. (342*6)+ entrada das transversais (5*2*6)</v>
      </c>
      <c r="U35" s="317"/>
      <c r="V35" s="317"/>
      <c r="W35" s="317"/>
      <c r="X35" s="317"/>
      <c r="Y35" s="317"/>
      <c r="Z35" s="317"/>
      <c r="AA35" s="317"/>
      <c r="AB35" s="317"/>
      <c r="AC35" s="317"/>
      <c r="AD35" s="317"/>
      <c r="AE35" s="317"/>
      <c r="AF35" s="317"/>
      <c r="AG35" s="317"/>
      <c r="AH35" s="317"/>
      <c r="AI35" s="317"/>
      <c r="AJ35" s="141"/>
    </row>
    <row r="36" spans="1:36" ht="12.75" customHeight="1">
      <c r="A36" s="152" t="s">
        <v>55</v>
      </c>
      <c r="B36" s="329" t="str">
        <f>B25</f>
        <v>CALÇADAS</v>
      </c>
      <c r="C36" s="330"/>
      <c r="D36" s="330"/>
      <c r="E36" s="330"/>
      <c r="F36" s="330"/>
      <c r="G36" s="330"/>
      <c r="H36" s="330"/>
      <c r="I36" s="330"/>
      <c r="J36" s="330"/>
      <c r="K36" s="330"/>
      <c r="L36" s="330"/>
      <c r="M36" s="330"/>
      <c r="N36" s="330"/>
      <c r="O36" s="330"/>
      <c r="P36" s="330"/>
      <c r="Q36" s="330"/>
      <c r="R36" s="330"/>
      <c r="S36" s="330"/>
      <c r="T36" s="330"/>
      <c r="U36" s="330"/>
      <c r="V36" s="330"/>
      <c r="W36" s="330"/>
      <c r="X36" s="330"/>
      <c r="Y36" s="330"/>
      <c r="Z36" s="330"/>
      <c r="AA36" s="330"/>
      <c r="AB36" s="330"/>
      <c r="AC36" s="330"/>
      <c r="AD36" s="330"/>
      <c r="AE36" s="330"/>
      <c r="AF36" s="330"/>
      <c r="AG36" s="330"/>
      <c r="AH36" s="330"/>
      <c r="AI36" s="331"/>
      <c r="AJ36" s="141"/>
    </row>
    <row r="37" spans="1:36" ht="24.75" customHeight="1">
      <c r="A37" s="149" t="s">
        <v>127</v>
      </c>
      <c r="B37" s="315" t="str">
        <f t="shared" ref="B37:B42" si="1">B26</f>
        <v>EXECUÇÃO DE PASSEIO (CALÇADA) COM CONCRETO MOLDADO IN LOCO FEITO EM OBRA, ACABAMENTO CONVENCIONAL, NÃO ARMADO</v>
      </c>
      <c r="C37" s="315"/>
      <c r="D37" s="315"/>
      <c r="E37" s="315"/>
      <c r="F37" s="315"/>
      <c r="G37" s="315"/>
      <c r="H37" s="315"/>
      <c r="I37" s="315"/>
      <c r="J37" s="315"/>
      <c r="K37" s="315"/>
      <c r="L37" s="315"/>
      <c r="M37" s="315"/>
      <c r="N37" s="315"/>
      <c r="O37" s="315" t="str">
        <f>O26</f>
        <v>m³</v>
      </c>
      <c r="P37" s="315"/>
      <c r="Q37" s="316">
        <f>(684-(7*6))*1.5*0.07</f>
        <v>67.410000000000011</v>
      </c>
      <c r="R37" s="316"/>
      <c r="S37" s="316"/>
      <c r="T37" s="317" t="s">
        <v>168</v>
      </c>
      <c r="U37" s="317"/>
      <c r="V37" s="317"/>
      <c r="W37" s="317"/>
      <c r="X37" s="317"/>
      <c r="Y37" s="317"/>
      <c r="Z37" s="317"/>
      <c r="AA37" s="317"/>
      <c r="AB37" s="317"/>
      <c r="AC37" s="317"/>
      <c r="AD37" s="317"/>
      <c r="AE37" s="317"/>
      <c r="AF37" s="317"/>
      <c r="AG37" s="317"/>
      <c r="AH37" s="317"/>
      <c r="AI37" s="317"/>
      <c r="AJ37" s="141"/>
    </row>
    <row r="38" spans="1:36" ht="12.75" customHeight="1">
      <c r="A38" s="149" t="s">
        <v>129</v>
      </c>
      <c r="B38" s="315" t="str">
        <f t="shared" si="1"/>
        <v>LADRILHO HIDRAULICO AMARELO 20X20 (DIRECIONAL)</v>
      </c>
      <c r="C38" s="315"/>
      <c r="D38" s="315"/>
      <c r="E38" s="315"/>
      <c r="F38" s="315"/>
      <c r="G38" s="315"/>
      <c r="H38" s="315"/>
      <c r="I38" s="315"/>
      <c r="J38" s="315"/>
      <c r="K38" s="315"/>
      <c r="L38" s="315"/>
      <c r="M38" s="315"/>
      <c r="N38" s="315"/>
      <c r="O38" s="315" t="str">
        <f>O27</f>
        <v>m</v>
      </c>
      <c r="P38" s="315"/>
      <c r="Q38" s="316">
        <f>(680-49-36)*0.2</f>
        <v>119</v>
      </c>
      <c r="R38" s="316"/>
      <c r="S38" s="316"/>
      <c r="T38" s="317" t="s">
        <v>205</v>
      </c>
      <c r="U38" s="317"/>
      <c r="V38" s="317"/>
      <c r="W38" s="317"/>
      <c r="X38" s="317"/>
      <c r="Y38" s="317"/>
      <c r="Z38" s="317"/>
      <c r="AA38" s="317"/>
      <c r="AB38" s="317"/>
      <c r="AC38" s="317"/>
      <c r="AD38" s="317"/>
      <c r="AE38" s="317"/>
      <c r="AF38" s="317"/>
      <c r="AG38" s="317"/>
      <c r="AH38" s="317"/>
      <c r="AI38" s="317"/>
      <c r="AJ38" s="141"/>
    </row>
    <row r="39" spans="1:36" ht="12.75" customHeight="1">
      <c r="A39" s="149" t="s">
        <v>130</v>
      </c>
      <c r="B39" s="315" t="str">
        <f t="shared" si="1"/>
        <v>LADRILHO HIDRAULICO VERMELHO 20X20 (ALERTA)</v>
      </c>
      <c r="C39" s="315"/>
      <c r="D39" s="315"/>
      <c r="E39" s="315"/>
      <c r="F39" s="315"/>
      <c r="G39" s="315"/>
      <c r="H39" s="315"/>
      <c r="I39" s="315"/>
      <c r="J39" s="315"/>
      <c r="K39" s="315"/>
      <c r="L39" s="315"/>
      <c r="M39" s="315"/>
      <c r="N39" s="315"/>
      <c r="O39" s="315" t="str">
        <f>O28</f>
        <v>m</v>
      </c>
      <c r="P39" s="315"/>
      <c r="Q39" s="316">
        <f>20*0.2</f>
        <v>4</v>
      </c>
      <c r="R39" s="316"/>
      <c r="S39" s="316"/>
      <c r="T39" s="317" t="s">
        <v>206</v>
      </c>
      <c r="U39" s="317"/>
      <c r="V39" s="317"/>
      <c r="W39" s="317"/>
      <c r="X39" s="317"/>
      <c r="Y39" s="317"/>
      <c r="Z39" s="317"/>
      <c r="AA39" s="317"/>
      <c r="AB39" s="317"/>
      <c r="AC39" s="317"/>
      <c r="AD39" s="317"/>
      <c r="AE39" s="317"/>
      <c r="AF39" s="317"/>
      <c r="AG39" s="317"/>
      <c r="AH39" s="317"/>
      <c r="AI39" s="317"/>
      <c r="AJ39" s="141"/>
    </row>
    <row r="40" spans="1:36" ht="12.75" customHeight="1">
      <c r="A40" s="152" t="s">
        <v>131</v>
      </c>
      <c r="B40" s="326" t="str">
        <f t="shared" si="1"/>
        <v>MEIO FIO E SARJETA</v>
      </c>
      <c r="C40" s="327"/>
      <c r="D40" s="327"/>
      <c r="E40" s="327"/>
      <c r="F40" s="327"/>
      <c r="G40" s="327"/>
      <c r="H40" s="327"/>
      <c r="I40" s="327"/>
      <c r="J40" s="327"/>
      <c r="K40" s="327"/>
      <c r="L40" s="327"/>
      <c r="M40" s="327"/>
      <c r="N40" s="327"/>
      <c r="O40" s="327"/>
      <c r="P40" s="327"/>
      <c r="Q40" s="327"/>
      <c r="R40" s="327"/>
      <c r="S40" s="327"/>
      <c r="T40" s="327"/>
      <c r="U40" s="327"/>
      <c r="V40" s="327"/>
      <c r="W40" s="327"/>
      <c r="X40" s="327"/>
      <c r="Y40" s="327"/>
      <c r="Z40" s="327"/>
      <c r="AA40" s="327"/>
      <c r="AB40" s="327"/>
      <c r="AC40" s="327"/>
      <c r="AD40" s="327"/>
      <c r="AE40" s="327"/>
      <c r="AF40" s="327"/>
      <c r="AG40" s="327"/>
      <c r="AH40" s="327"/>
      <c r="AI40" s="328"/>
      <c r="AJ40" s="141"/>
    </row>
    <row r="41" spans="1:36" ht="40.5" customHeight="1">
      <c r="A41" s="149" t="s">
        <v>132</v>
      </c>
      <c r="B41" s="315" t="str">
        <f t="shared" si="1"/>
        <v>ASSENTAMENTO DE GUIA (MEIO-FIO) EM TRECHO RETO, CONFECCIONADA EM CONCRETOPRÉ-FABRICADO, DIMENSÕES 100X15X13X30 CM (COMPRIMENTO X BASE INFERIOR X BASE SUPERIOR X ALTURA), PARA VIAS URBANAS (USO VIÁRIO)</v>
      </c>
      <c r="C41" s="315"/>
      <c r="D41" s="315"/>
      <c r="E41" s="315"/>
      <c r="F41" s="315"/>
      <c r="G41" s="315"/>
      <c r="H41" s="315"/>
      <c r="I41" s="315"/>
      <c r="J41" s="315"/>
      <c r="K41" s="315"/>
      <c r="L41" s="315"/>
      <c r="M41" s="315"/>
      <c r="N41" s="315"/>
      <c r="O41" s="315" t="str">
        <f>O30</f>
        <v>m</v>
      </c>
      <c r="P41" s="315"/>
      <c r="Q41" s="316">
        <f>342*2-7*6+2*5</f>
        <v>652</v>
      </c>
      <c r="R41" s="316"/>
      <c r="S41" s="316"/>
      <c r="T41" s="317" t="s">
        <v>194</v>
      </c>
      <c r="U41" s="317"/>
      <c r="V41" s="317"/>
      <c r="W41" s="317"/>
      <c r="X41" s="317"/>
      <c r="Y41" s="317"/>
      <c r="Z41" s="317"/>
      <c r="AA41" s="317"/>
      <c r="AB41" s="317"/>
      <c r="AC41" s="317"/>
      <c r="AD41" s="317"/>
      <c r="AE41" s="317"/>
      <c r="AF41" s="317"/>
      <c r="AG41" s="317"/>
      <c r="AH41" s="317"/>
      <c r="AI41" s="317"/>
      <c r="AJ41" s="141"/>
    </row>
    <row r="42" spans="1:36" ht="24.75" customHeight="1">
      <c r="A42" s="149" t="s">
        <v>133</v>
      </c>
      <c r="B42" s="315" t="str">
        <f t="shared" si="1"/>
        <v>30 CM BASE X 10 CM ALTURA EXECUÇÃO DE SARJETA DE CONCRETO USINADO, MOLDADA IN LOCO EM TRECHO RETO</v>
      </c>
      <c r="C42" s="315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 t="str">
        <f>O31</f>
        <v>m</v>
      </c>
      <c r="P42" s="315"/>
      <c r="Q42" s="316">
        <f>Q41</f>
        <v>652</v>
      </c>
      <c r="R42" s="316"/>
      <c r="S42" s="316"/>
      <c r="T42" s="317" t="str">
        <f>T41</f>
        <v>comprim. (342*2)- transversais (7*6)+ entradas das transversais e travamentos (2*5)</v>
      </c>
      <c r="U42" s="317"/>
      <c r="V42" s="317"/>
      <c r="W42" s="317"/>
      <c r="X42" s="317"/>
      <c r="Y42" s="317"/>
      <c r="Z42" s="317"/>
      <c r="AA42" s="317"/>
      <c r="AB42" s="317"/>
      <c r="AC42" s="317"/>
      <c r="AD42" s="317"/>
      <c r="AE42" s="317"/>
      <c r="AF42" s="317"/>
      <c r="AG42" s="317"/>
      <c r="AH42" s="317"/>
      <c r="AI42" s="317"/>
      <c r="AJ42" s="141"/>
    </row>
    <row r="43" spans="1:36" ht="12.75" customHeight="1">
      <c r="A43" s="325" t="str">
        <f>Planilha1!B8</f>
        <v>Rua Porfírio Souto de Almeida</v>
      </c>
      <c r="B43" s="325"/>
      <c r="C43" s="325"/>
      <c r="D43" s="325"/>
      <c r="E43" s="325"/>
      <c r="F43" s="325"/>
      <c r="G43" s="325"/>
      <c r="H43" s="325"/>
      <c r="I43" s="325"/>
      <c r="J43" s="325"/>
      <c r="K43" s="325"/>
      <c r="L43" s="325"/>
      <c r="M43" s="325"/>
      <c r="N43" s="325"/>
      <c r="O43" s="325"/>
      <c r="P43" s="325"/>
      <c r="Q43" s="325"/>
      <c r="R43" s="325"/>
      <c r="S43" s="325"/>
      <c r="T43" s="325"/>
      <c r="U43" s="325"/>
      <c r="V43" s="325"/>
      <c r="W43" s="325"/>
      <c r="X43" s="325"/>
      <c r="Y43" s="325"/>
      <c r="Z43" s="325"/>
      <c r="AA43" s="325"/>
      <c r="AB43" s="150"/>
      <c r="AC43" s="150"/>
      <c r="AD43" s="150"/>
      <c r="AE43" s="150"/>
      <c r="AF43" s="150"/>
      <c r="AG43" s="150"/>
      <c r="AH43" s="150"/>
      <c r="AI43" s="150"/>
      <c r="AJ43" s="141"/>
    </row>
    <row r="44" spans="1:36" ht="12.75" customHeight="1">
      <c r="A44" s="151">
        <v>2</v>
      </c>
      <c r="B44" s="332" t="str">
        <f>B33</f>
        <v>PAVIMENTAÇÃO</v>
      </c>
      <c r="C44" s="333"/>
      <c r="D44" s="333"/>
      <c r="E44" s="333"/>
      <c r="F44" s="333"/>
      <c r="G44" s="333"/>
      <c r="H44" s="333"/>
      <c r="I44" s="333"/>
      <c r="J44" s="333"/>
      <c r="K44" s="333"/>
      <c r="L44" s="333"/>
      <c r="M44" s="333"/>
      <c r="N44" s="333"/>
      <c r="O44" s="333"/>
      <c r="P44" s="333"/>
      <c r="Q44" s="333"/>
      <c r="R44" s="333"/>
      <c r="S44" s="333"/>
      <c r="T44" s="333"/>
      <c r="U44" s="333"/>
      <c r="V44" s="333"/>
      <c r="W44" s="333"/>
      <c r="X44" s="333"/>
      <c r="Y44" s="333"/>
      <c r="Z44" s="333"/>
      <c r="AA44" s="333"/>
      <c r="AB44" s="333"/>
      <c r="AC44" s="333"/>
      <c r="AD44" s="333"/>
      <c r="AE44" s="333"/>
      <c r="AF44" s="333"/>
      <c r="AG44" s="333"/>
      <c r="AH44" s="333"/>
      <c r="AI44" s="334"/>
      <c r="AJ44" s="141"/>
    </row>
    <row r="45" spans="1:36" ht="12.75" customHeight="1">
      <c r="A45" s="149" t="s">
        <v>52</v>
      </c>
      <c r="B45" s="315" t="str">
        <f>B34</f>
        <v>REGULARIZAÇÃO DO SUB-LEITO (PROCTOR NORMAL)</v>
      </c>
      <c r="C45" s="315"/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 t="str">
        <f>O34</f>
        <v>m²</v>
      </c>
      <c r="P45" s="315"/>
      <c r="Q45" s="316">
        <f>Planilha1!L8</f>
        <v>660</v>
      </c>
      <c r="R45" s="316"/>
      <c r="S45" s="316"/>
      <c r="T45" s="317" t="s">
        <v>167</v>
      </c>
      <c r="U45" s="317"/>
      <c r="V45" s="317"/>
      <c r="W45" s="317"/>
      <c r="X45" s="317"/>
      <c r="Y45" s="317"/>
      <c r="Z45" s="317"/>
      <c r="AA45" s="317"/>
      <c r="AB45" s="317"/>
      <c r="AC45" s="317"/>
      <c r="AD45" s="317"/>
      <c r="AE45" s="317"/>
      <c r="AF45" s="317"/>
      <c r="AG45" s="317"/>
      <c r="AH45" s="317"/>
      <c r="AI45" s="317"/>
      <c r="AJ45" s="141"/>
    </row>
    <row r="46" spans="1:36" ht="36.75" customHeight="1">
      <c r="A46" s="149" t="s">
        <v>55</v>
      </c>
      <c r="B46" s="315" t="str">
        <f>B35</f>
        <v>EXECUÇÃODECALÇAMENTOEMBLOQUETE-E=8CM - FCK=35MPA,INCLUINDOFORNECIMENTOETRANSPORTEDETODOSOSMATERIAIS, COLCHÃO DE ASSENTAMENTO E = 6 CM</v>
      </c>
      <c r="C46" s="315"/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 t="str">
        <f>O35</f>
        <v>m²</v>
      </c>
      <c r="P46" s="315"/>
      <c r="Q46" s="316">
        <f>Q45</f>
        <v>660</v>
      </c>
      <c r="R46" s="316"/>
      <c r="S46" s="316"/>
      <c r="T46" s="317" t="str">
        <f>T45</f>
        <v>comprim. * larg. (110*6)</v>
      </c>
      <c r="U46" s="317"/>
      <c r="V46" s="317"/>
      <c r="W46" s="317"/>
      <c r="X46" s="317"/>
      <c r="Y46" s="317"/>
      <c r="Z46" s="317"/>
      <c r="AA46" s="317"/>
      <c r="AB46" s="317"/>
      <c r="AC46" s="317"/>
      <c r="AD46" s="317"/>
      <c r="AE46" s="317"/>
      <c r="AF46" s="317"/>
      <c r="AG46" s="317"/>
      <c r="AH46" s="317"/>
      <c r="AI46" s="317"/>
      <c r="AJ46" s="141"/>
    </row>
    <row r="47" spans="1:36" ht="12.75" customHeight="1">
      <c r="A47" s="152" t="s">
        <v>55</v>
      </c>
      <c r="B47" s="329" t="str">
        <f>B36</f>
        <v>CALÇADAS</v>
      </c>
      <c r="C47" s="330"/>
      <c r="D47" s="330"/>
      <c r="E47" s="330"/>
      <c r="F47" s="330"/>
      <c r="G47" s="330"/>
      <c r="H47" s="330"/>
      <c r="I47" s="330"/>
      <c r="J47" s="330"/>
      <c r="K47" s="330"/>
      <c r="L47" s="330"/>
      <c r="M47" s="330"/>
      <c r="N47" s="330"/>
      <c r="O47" s="330"/>
      <c r="P47" s="330"/>
      <c r="Q47" s="330"/>
      <c r="R47" s="330"/>
      <c r="S47" s="330"/>
      <c r="T47" s="330"/>
      <c r="U47" s="330"/>
      <c r="V47" s="330"/>
      <c r="W47" s="330"/>
      <c r="X47" s="330"/>
      <c r="Y47" s="330"/>
      <c r="Z47" s="330"/>
      <c r="AA47" s="330"/>
      <c r="AB47" s="330"/>
      <c r="AC47" s="330"/>
      <c r="AD47" s="330"/>
      <c r="AE47" s="330"/>
      <c r="AF47" s="330"/>
      <c r="AG47" s="330"/>
      <c r="AH47" s="330"/>
      <c r="AI47" s="331"/>
      <c r="AJ47" s="141"/>
    </row>
    <row r="48" spans="1:36" ht="24.75" customHeight="1">
      <c r="A48" s="149" t="s">
        <v>127</v>
      </c>
      <c r="B48" s="315" t="str">
        <f t="shared" ref="B48:B53" si="2">B37</f>
        <v>EXECUÇÃO DE PASSEIO (CALÇADA) COM CONCRETO MOLDADO IN LOCO FEITO EM OBRA, ACABAMENTO CONVENCIONAL, NÃO ARMADO</v>
      </c>
      <c r="C48" s="315"/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5" t="str">
        <f>O37</f>
        <v>m³</v>
      </c>
      <c r="P48" s="315"/>
      <c r="Q48" s="316">
        <f>110*2*1.5*0.07</f>
        <v>23.1</v>
      </c>
      <c r="R48" s="316"/>
      <c r="S48" s="316"/>
      <c r="T48" s="317" t="s">
        <v>169</v>
      </c>
      <c r="U48" s="317"/>
      <c r="V48" s="317"/>
      <c r="W48" s="317"/>
      <c r="X48" s="317"/>
      <c r="Y48" s="317"/>
      <c r="Z48" s="317"/>
      <c r="AA48" s="317"/>
      <c r="AB48" s="317"/>
      <c r="AC48" s="317"/>
      <c r="AD48" s="317"/>
      <c r="AE48" s="317"/>
      <c r="AF48" s="317"/>
      <c r="AG48" s="317"/>
      <c r="AH48" s="317"/>
      <c r="AI48" s="317"/>
      <c r="AJ48" s="141"/>
    </row>
    <row r="49" spans="1:36" ht="12.75" customHeight="1">
      <c r="A49" s="149" t="s">
        <v>129</v>
      </c>
      <c r="B49" s="315" t="str">
        <f t="shared" si="2"/>
        <v>LADRILHO HIDRAULICO AMARELO 20X20 (DIRECIONAL)</v>
      </c>
      <c r="C49" s="315"/>
      <c r="D49" s="315"/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 t="str">
        <f>O38</f>
        <v>m</v>
      </c>
      <c r="P49" s="315"/>
      <c r="Q49" s="316">
        <f>(220-12)*0.2</f>
        <v>41.6</v>
      </c>
      <c r="R49" s="316"/>
      <c r="S49" s="316"/>
      <c r="T49" s="317" t="s">
        <v>207</v>
      </c>
      <c r="U49" s="317"/>
      <c r="V49" s="317"/>
      <c r="W49" s="317"/>
      <c r="X49" s="317"/>
      <c r="Y49" s="317"/>
      <c r="Z49" s="317"/>
      <c r="AA49" s="317"/>
      <c r="AB49" s="317"/>
      <c r="AC49" s="317"/>
      <c r="AD49" s="317"/>
      <c r="AE49" s="317"/>
      <c r="AF49" s="317"/>
      <c r="AG49" s="317"/>
      <c r="AH49" s="317"/>
      <c r="AI49" s="317"/>
      <c r="AJ49" s="141"/>
    </row>
    <row r="50" spans="1:36" ht="12.75" customHeight="1">
      <c r="A50" s="149" t="s">
        <v>130</v>
      </c>
      <c r="B50" s="315" t="str">
        <f t="shared" si="2"/>
        <v>LADRILHO HIDRAULICO VERMELHO 20X20 (ALERTA)</v>
      </c>
      <c r="C50" s="315"/>
      <c r="D50" s="315"/>
      <c r="E50" s="315"/>
      <c r="F50" s="315"/>
      <c r="G50" s="315"/>
      <c r="H50" s="315"/>
      <c r="I50" s="315"/>
      <c r="J50" s="315"/>
      <c r="K50" s="315"/>
      <c r="L50" s="315"/>
      <c r="M50" s="315"/>
      <c r="N50" s="315"/>
      <c r="O50" s="315" t="str">
        <f>O39</f>
        <v>m</v>
      </c>
      <c r="P50" s="315"/>
      <c r="Q50" s="316">
        <f>12.8*0.2</f>
        <v>2.5600000000000005</v>
      </c>
      <c r="R50" s="316"/>
      <c r="S50" s="316"/>
      <c r="T50" s="317" t="s">
        <v>208</v>
      </c>
      <c r="U50" s="317"/>
      <c r="V50" s="317"/>
      <c r="W50" s="317"/>
      <c r="X50" s="317"/>
      <c r="Y50" s="317"/>
      <c r="Z50" s="317"/>
      <c r="AA50" s="317"/>
      <c r="AB50" s="317"/>
      <c r="AC50" s="317"/>
      <c r="AD50" s="317"/>
      <c r="AE50" s="317"/>
      <c r="AF50" s="317"/>
      <c r="AG50" s="317"/>
      <c r="AH50" s="317"/>
      <c r="AI50" s="317"/>
      <c r="AJ50" s="141"/>
    </row>
    <row r="51" spans="1:36" ht="12.75" customHeight="1">
      <c r="A51" s="152" t="s">
        <v>131</v>
      </c>
      <c r="B51" s="326" t="str">
        <f t="shared" si="2"/>
        <v>MEIO FIO E SARJETA</v>
      </c>
      <c r="C51" s="327"/>
      <c r="D51" s="327"/>
      <c r="E51" s="327"/>
      <c r="F51" s="327"/>
      <c r="G51" s="327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  <c r="T51" s="327"/>
      <c r="U51" s="327"/>
      <c r="V51" s="327"/>
      <c r="W51" s="327"/>
      <c r="X51" s="327"/>
      <c r="Y51" s="327"/>
      <c r="Z51" s="327"/>
      <c r="AA51" s="327"/>
      <c r="AB51" s="327"/>
      <c r="AC51" s="327"/>
      <c r="AD51" s="327"/>
      <c r="AE51" s="327"/>
      <c r="AF51" s="327"/>
      <c r="AG51" s="327"/>
      <c r="AH51" s="327"/>
      <c r="AI51" s="328"/>
      <c r="AJ51" s="141"/>
    </row>
    <row r="52" spans="1:36" ht="40.5" customHeight="1">
      <c r="A52" s="149" t="s">
        <v>132</v>
      </c>
      <c r="B52" s="315" t="str">
        <f t="shared" si="2"/>
        <v>ASSENTAMENTO DE GUIA (MEIO-FIO) EM TRECHO RETO, CONFECCIONADA EM CONCRETOPRÉ-FABRICADO, DIMENSÕES 100X15X13X30 CM (COMPRIMENTO X BASE INFERIOR X BASE SUPERIOR X ALTURA), PARA VIAS URBANAS (USO VIÁRIO)</v>
      </c>
      <c r="C52" s="315"/>
      <c r="D52" s="315"/>
      <c r="E52" s="315"/>
      <c r="F52" s="315"/>
      <c r="G52" s="315"/>
      <c r="H52" s="315"/>
      <c r="I52" s="315"/>
      <c r="J52" s="315"/>
      <c r="K52" s="315"/>
      <c r="L52" s="315"/>
      <c r="M52" s="315"/>
      <c r="N52" s="315"/>
      <c r="O52" s="315" t="str">
        <f>O41</f>
        <v>m</v>
      </c>
      <c r="P52" s="315"/>
      <c r="Q52" s="316">
        <f>110*2</f>
        <v>220</v>
      </c>
      <c r="R52" s="316"/>
      <c r="S52" s="316"/>
      <c r="T52" s="317" t="s">
        <v>178</v>
      </c>
      <c r="U52" s="317"/>
      <c r="V52" s="317"/>
      <c r="W52" s="317"/>
      <c r="X52" s="317"/>
      <c r="Y52" s="317"/>
      <c r="Z52" s="317"/>
      <c r="AA52" s="317"/>
      <c r="AB52" s="317"/>
      <c r="AC52" s="317"/>
      <c r="AD52" s="317"/>
      <c r="AE52" s="317"/>
      <c r="AF52" s="317"/>
      <c r="AG52" s="317"/>
      <c r="AH52" s="317"/>
      <c r="AI52" s="317"/>
      <c r="AJ52" s="141"/>
    </row>
    <row r="53" spans="1:36" ht="25.5" customHeight="1">
      <c r="A53" s="149" t="s">
        <v>133</v>
      </c>
      <c r="B53" s="315" t="str">
        <f t="shared" si="2"/>
        <v>30 CM BASE X 10 CM ALTURA EXECUÇÃO DE SARJETA DE CONCRETO USINADO, MOLDADA IN LOCO EM TRECHO RETO</v>
      </c>
      <c r="C53" s="315"/>
      <c r="D53" s="315"/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 t="str">
        <f>O42</f>
        <v>m</v>
      </c>
      <c r="P53" s="315"/>
      <c r="Q53" s="316">
        <f>Q52</f>
        <v>220</v>
      </c>
      <c r="R53" s="316"/>
      <c r="S53" s="316"/>
      <c r="T53" s="317" t="str">
        <f>T52</f>
        <v>comprim. * quantidade (110*2)</v>
      </c>
      <c r="U53" s="317"/>
      <c r="V53" s="317"/>
      <c r="W53" s="317"/>
      <c r="X53" s="317"/>
      <c r="Y53" s="317"/>
      <c r="Z53" s="317"/>
      <c r="AA53" s="317"/>
      <c r="AB53" s="317"/>
      <c r="AC53" s="317"/>
      <c r="AD53" s="317"/>
      <c r="AE53" s="317"/>
      <c r="AF53" s="317"/>
      <c r="AG53" s="317"/>
      <c r="AH53" s="317"/>
      <c r="AI53" s="317"/>
      <c r="AJ53" s="141"/>
    </row>
    <row r="54" spans="1:36" ht="12.75" customHeight="1">
      <c r="A54" s="325" t="str">
        <f>Planilha1!B9</f>
        <v>Rua Manoel Ferreira</v>
      </c>
      <c r="B54" s="325"/>
      <c r="C54" s="325"/>
      <c r="D54" s="325"/>
      <c r="E54" s="325"/>
      <c r="F54" s="325"/>
      <c r="G54" s="325"/>
      <c r="H54" s="325"/>
      <c r="I54" s="325"/>
      <c r="J54" s="325"/>
      <c r="K54" s="325"/>
      <c r="L54" s="325"/>
      <c r="M54" s="325"/>
      <c r="N54" s="325"/>
      <c r="O54" s="325"/>
      <c r="P54" s="325"/>
      <c r="Q54" s="325"/>
      <c r="R54" s="325"/>
      <c r="S54" s="325"/>
      <c r="T54" s="325"/>
      <c r="U54" s="325"/>
      <c r="V54" s="325"/>
      <c r="W54" s="325"/>
      <c r="X54" s="325"/>
      <c r="Y54" s="325"/>
      <c r="Z54" s="325"/>
      <c r="AA54" s="325"/>
      <c r="AB54" s="150"/>
      <c r="AC54" s="150"/>
      <c r="AD54" s="150"/>
      <c r="AE54" s="150"/>
      <c r="AF54" s="150"/>
      <c r="AG54" s="150"/>
      <c r="AH54" s="150"/>
      <c r="AI54" s="150"/>
      <c r="AJ54" s="141"/>
    </row>
    <row r="55" spans="1:36" ht="12.75" customHeight="1">
      <c r="A55" s="151">
        <v>2</v>
      </c>
      <c r="B55" s="332" t="str">
        <f>B44</f>
        <v>PAVIMENTAÇÃO</v>
      </c>
      <c r="C55" s="333"/>
      <c r="D55" s="333"/>
      <c r="E55" s="333"/>
      <c r="F55" s="333"/>
      <c r="G55" s="333"/>
      <c r="H55" s="333"/>
      <c r="I55" s="333"/>
      <c r="J55" s="333"/>
      <c r="K55" s="333"/>
      <c r="L55" s="333"/>
      <c r="M55" s="333"/>
      <c r="N55" s="333"/>
      <c r="O55" s="333"/>
      <c r="P55" s="333"/>
      <c r="Q55" s="333"/>
      <c r="R55" s="333"/>
      <c r="S55" s="333"/>
      <c r="T55" s="333"/>
      <c r="U55" s="333"/>
      <c r="V55" s="333"/>
      <c r="W55" s="333"/>
      <c r="X55" s="333"/>
      <c r="Y55" s="333"/>
      <c r="Z55" s="333"/>
      <c r="AA55" s="333"/>
      <c r="AB55" s="333"/>
      <c r="AC55" s="333"/>
      <c r="AD55" s="333"/>
      <c r="AE55" s="333"/>
      <c r="AF55" s="333"/>
      <c r="AG55" s="333"/>
      <c r="AH55" s="333"/>
      <c r="AI55" s="334"/>
      <c r="AJ55" s="141"/>
    </row>
    <row r="56" spans="1:36" ht="12.75" customHeight="1">
      <c r="A56" s="149" t="s">
        <v>52</v>
      </c>
      <c r="B56" s="315" t="str">
        <f>B45</f>
        <v>REGULARIZAÇÃO DO SUB-LEITO (PROCTOR NORMAL)</v>
      </c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 t="str">
        <f>O45</f>
        <v>m²</v>
      </c>
      <c r="P56" s="315"/>
      <c r="Q56" s="316">
        <f>86*6</f>
        <v>516</v>
      </c>
      <c r="R56" s="316"/>
      <c r="S56" s="316"/>
      <c r="T56" s="317" t="s">
        <v>170</v>
      </c>
      <c r="U56" s="317"/>
      <c r="V56" s="317"/>
      <c r="W56" s="317"/>
      <c r="X56" s="317"/>
      <c r="Y56" s="317"/>
      <c r="Z56" s="317"/>
      <c r="AA56" s="317"/>
      <c r="AB56" s="317"/>
      <c r="AC56" s="317"/>
      <c r="AD56" s="317"/>
      <c r="AE56" s="317"/>
      <c r="AF56" s="317"/>
      <c r="AG56" s="317"/>
      <c r="AH56" s="317"/>
      <c r="AI56" s="317"/>
      <c r="AJ56" s="141"/>
    </row>
    <row r="57" spans="1:36" ht="38.25" customHeight="1">
      <c r="A57" s="149" t="s">
        <v>55</v>
      </c>
      <c r="B57" s="315" t="str">
        <f>B46</f>
        <v>EXECUÇÃODECALÇAMENTOEMBLOQUETE-E=8CM - FCK=35MPA,INCLUINDOFORNECIMENTOETRANSPORTEDETODOSOSMATERIAIS, COLCHÃO DE ASSENTAMENTO E = 6 CM</v>
      </c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 t="str">
        <f>O46</f>
        <v>m²</v>
      </c>
      <c r="P57" s="315"/>
      <c r="Q57" s="316">
        <f>Q56</f>
        <v>516</v>
      </c>
      <c r="R57" s="316"/>
      <c r="S57" s="316"/>
      <c r="T57" s="317" t="str">
        <f>T56</f>
        <v>comprim. * larg. ( 86*6)</v>
      </c>
      <c r="U57" s="317"/>
      <c r="V57" s="317"/>
      <c r="W57" s="317"/>
      <c r="X57" s="317"/>
      <c r="Y57" s="317"/>
      <c r="Z57" s="317"/>
      <c r="AA57" s="317"/>
      <c r="AB57" s="317"/>
      <c r="AC57" s="317"/>
      <c r="AD57" s="317"/>
      <c r="AE57" s="317"/>
      <c r="AF57" s="317"/>
      <c r="AG57" s="317"/>
      <c r="AH57" s="317"/>
      <c r="AI57" s="317"/>
      <c r="AJ57" s="141"/>
    </row>
    <row r="58" spans="1:36" ht="12.75" customHeight="1">
      <c r="A58" s="152" t="s">
        <v>55</v>
      </c>
      <c r="B58" s="329" t="str">
        <f>B47</f>
        <v>CALÇADAS</v>
      </c>
      <c r="C58" s="330"/>
      <c r="D58" s="330"/>
      <c r="E58" s="330"/>
      <c r="F58" s="330"/>
      <c r="G58" s="330"/>
      <c r="H58" s="330"/>
      <c r="I58" s="330"/>
      <c r="J58" s="330"/>
      <c r="K58" s="330"/>
      <c r="L58" s="330"/>
      <c r="M58" s="330"/>
      <c r="N58" s="330"/>
      <c r="O58" s="330"/>
      <c r="P58" s="330"/>
      <c r="Q58" s="330"/>
      <c r="R58" s="330"/>
      <c r="S58" s="330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330"/>
      <c r="AF58" s="330"/>
      <c r="AG58" s="330"/>
      <c r="AH58" s="330"/>
      <c r="AI58" s="331"/>
      <c r="AJ58" s="141"/>
    </row>
    <row r="59" spans="1:36" ht="27" customHeight="1">
      <c r="A59" s="149" t="s">
        <v>127</v>
      </c>
      <c r="B59" s="315" t="str">
        <f t="shared" ref="B59:B64" si="3">B48</f>
        <v>EXECUÇÃO DE PASSEIO (CALÇADA) COM CONCRETO MOLDADO IN LOCO FEITO EM OBRA, ACABAMENTO CONVENCIONAL, NÃO ARMADO</v>
      </c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 t="str">
        <f>O48</f>
        <v>m³</v>
      </c>
      <c r="P59" s="315"/>
      <c r="Q59" s="316">
        <f>172*1.5*0.07</f>
        <v>18.060000000000002</v>
      </c>
      <c r="R59" s="316"/>
      <c r="S59" s="316"/>
      <c r="T59" s="317" t="s">
        <v>171</v>
      </c>
      <c r="U59" s="317"/>
      <c r="V59" s="317"/>
      <c r="W59" s="317"/>
      <c r="X59" s="317"/>
      <c r="Y59" s="317"/>
      <c r="Z59" s="317"/>
      <c r="AA59" s="317"/>
      <c r="AB59" s="317"/>
      <c r="AC59" s="317"/>
      <c r="AD59" s="317"/>
      <c r="AE59" s="317"/>
      <c r="AF59" s="317"/>
      <c r="AG59" s="317"/>
      <c r="AH59" s="317"/>
      <c r="AI59" s="317"/>
      <c r="AJ59" s="141"/>
    </row>
    <row r="60" spans="1:36" ht="12.75" customHeight="1">
      <c r="A60" s="149" t="s">
        <v>129</v>
      </c>
      <c r="B60" s="315" t="str">
        <f t="shared" si="3"/>
        <v>LADRILHO HIDRAULICO AMARELO 20X20 (DIRECIONAL)</v>
      </c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 t="str">
        <f>O49</f>
        <v>m</v>
      </c>
      <c r="P60" s="315"/>
      <c r="Q60" s="316">
        <f>(172-12)*0.2</f>
        <v>32</v>
      </c>
      <c r="R60" s="316"/>
      <c r="S60" s="316"/>
      <c r="T60" s="317" t="s">
        <v>209</v>
      </c>
      <c r="U60" s="317"/>
      <c r="V60" s="317"/>
      <c r="W60" s="317"/>
      <c r="X60" s="317"/>
      <c r="Y60" s="317"/>
      <c r="Z60" s="317"/>
      <c r="AA60" s="317"/>
      <c r="AB60" s="317"/>
      <c r="AC60" s="317"/>
      <c r="AD60" s="317"/>
      <c r="AE60" s="317"/>
      <c r="AF60" s="317"/>
      <c r="AG60" s="317"/>
      <c r="AH60" s="317"/>
      <c r="AI60" s="317"/>
      <c r="AJ60" s="141"/>
    </row>
    <row r="61" spans="1:36" ht="12.75" customHeight="1">
      <c r="A61" s="149" t="s">
        <v>130</v>
      </c>
      <c r="B61" s="315" t="str">
        <f t="shared" si="3"/>
        <v>LADRILHO HIDRAULICO VERMELHO 20X20 (ALERTA)</v>
      </c>
      <c r="C61" s="315"/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 t="str">
        <f>O50</f>
        <v>m</v>
      </c>
      <c r="P61" s="315"/>
      <c r="Q61" s="316">
        <f>12.6*0.2</f>
        <v>2.52</v>
      </c>
      <c r="R61" s="316"/>
      <c r="S61" s="316"/>
      <c r="T61" s="317" t="s">
        <v>210</v>
      </c>
      <c r="U61" s="317"/>
      <c r="V61" s="317"/>
      <c r="W61" s="317"/>
      <c r="X61" s="317"/>
      <c r="Y61" s="317"/>
      <c r="Z61" s="317"/>
      <c r="AA61" s="317"/>
      <c r="AB61" s="317"/>
      <c r="AC61" s="317"/>
      <c r="AD61" s="317"/>
      <c r="AE61" s="317"/>
      <c r="AF61" s="317"/>
      <c r="AG61" s="317"/>
      <c r="AH61" s="317"/>
      <c r="AI61" s="317"/>
      <c r="AJ61" s="141"/>
    </row>
    <row r="62" spans="1:36" ht="12.75" customHeight="1">
      <c r="A62" s="152" t="s">
        <v>131</v>
      </c>
      <c r="B62" s="326" t="str">
        <f t="shared" si="3"/>
        <v>MEIO FIO E SARJETA</v>
      </c>
      <c r="C62" s="327"/>
      <c r="D62" s="327"/>
      <c r="E62" s="327"/>
      <c r="F62" s="327"/>
      <c r="G62" s="327"/>
      <c r="H62" s="327"/>
      <c r="I62" s="327"/>
      <c r="J62" s="327"/>
      <c r="K62" s="327"/>
      <c r="L62" s="327"/>
      <c r="M62" s="327"/>
      <c r="N62" s="327"/>
      <c r="O62" s="327"/>
      <c r="P62" s="327"/>
      <c r="Q62" s="327"/>
      <c r="R62" s="327"/>
      <c r="S62" s="327"/>
      <c r="T62" s="327"/>
      <c r="U62" s="327"/>
      <c r="V62" s="327"/>
      <c r="W62" s="327"/>
      <c r="X62" s="327"/>
      <c r="Y62" s="327"/>
      <c r="Z62" s="327"/>
      <c r="AA62" s="327"/>
      <c r="AB62" s="327"/>
      <c r="AC62" s="327"/>
      <c r="AD62" s="327"/>
      <c r="AE62" s="327"/>
      <c r="AF62" s="327"/>
      <c r="AG62" s="327"/>
      <c r="AH62" s="327"/>
      <c r="AI62" s="328"/>
      <c r="AJ62" s="141"/>
    </row>
    <row r="63" spans="1:36" ht="38.25" customHeight="1">
      <c r="A63" s="149" t="s">
        <v>132</v>
      </c>
      <c r="B63" s="315" t="str">
        <f t="shared" si="3"/>
        <v>ASSENTAMENTO DE GUIA (MEIO-FIO) EM TRECHO RETO, CONFECCIONADA EM CONCRETOPRÉ-FABRICADO, DIMENSÕES 100X15X13X30 CM (COMPRIMENTO X BASE INFERIOR X BASE SUPERIOR X ALTURA), PARA VIAS URBANAS (USO VIÁRIO)</v>
      </c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 t="str">
        <f>O52</f>
        <v>m</v>
      </c>
      <c r="P63" s="315"/>
      <c r="Q63" s="316">
        <f>86*2</f>
        <v>172</v>
      </c>
      <c r="R63" s="316"/>
      <c r="S63" s="316"/>
      <c r="T63" s="317" t="s">
        <v>172</v>
      </c>
      <c r="U63" s="317"/>
      <c r="V63" s="317"/>
      <c r="W63" s="317"/>
      <c r="X63" s="317"/>
      <c r="Y63" s="317"/>
      <c r="Z63" s="317"/>
      <c r="AA63" s="317"/>
      <c r="AB63" s="317"/>
      <c r="AC63" s="317"/>
      <c r="AD63" s="317"/>
      <c r="AE63" s="317"/>
      <c r="AF63" s="317"/>
      <c r="AG63" s="317"/>
      <c r="AH63" s="317"/>
      <c r="AI63" s="317"/>
      <c r="AJ63" s="141"/>
    </row>
    <row r="64" spans="1:36" ht="12.75" customHeight="1">
      <c r="A64" s="149" t="s">
        <v>133</v>
      </c>
      <c r="B64" s="315" t="str">
        <f t="shared" si="3"/>
        <v>30 CM BASE X 10 CM ALTURA EXECUÇÃO DE SARJETA DE CONCRETO USINADO, MOLDADA IN LOCO EM TRECHO RETO</v>
      </c>
      <c r="C64" s="315"/>
      <c r="D64" s="315"/>
      <c r="E64" s="315"/>
      <c r="F64" s="315"/>
      <c r="G64" s="315"/>
      <c r="H64" s="315"/>
      <c r="I64" s="315"/>
      <c r="J64" s="315"/>
      <c r="K64" s="315"/>
      <c r="L64" s="315"/>
      <c r="M64" s="315"/>
      <c r="N64" s="315"/>
      <c r="O64" s="315" t="str">
        <f>O53</f>
        <v>m</v>
      </c>
      <c r="P64" s="315"/>
      <c r="Q64" s="316">
        <f>Q63</f>
        <v>172</v>
      </c>
      <c r="R64" s="316"/>
      <c r="S64" s="316"/>
      <c r="T64" s="317" t="str">
        <f>T63</f>
        <v>comprim. * qunatidade ( 86*2)</v>
      </c>
      <c r="U64" s="317"/>
      <c r="V64" s="317"/>
      <c r="W64" s="317"/>
      <c r="X64" s="317"/>
      <c r="Y64" s="317"/>
      <c r="Z64" s="317"/>
      <c r="AA64" s="317"/>
      <c r="AB64" s="317"/>
      <c r="AC64" s="317"/>
      <c r="AD64" s="317"/>
      <c r="AE64" s="317"/>
      <c r="AF64" s="317"/>
      <c r="AG64" s="317"/>
      <c r="AH64" s="317"/>
      <c r="AI64" s="317"/>
      <c r="AJ64" s="141"/>
    </row>
    <row r="65" spans="1:36" ht="12.75" customHeight="1">
      <c r="A65" s="325" t="str">
        <f>Planilha1!B10</f>
        <v>Rua Florisvaldo de Almeida</v>
      </c>
      <c r="B65" s="325"/>
      <c r="C65" s="325"/>
      <c r="D65" s="325"/>
      <c r="E65" s="325"/>
      <c r="F65" s="325"/>
      <c r="G65" s="325"/>
      <c r="H65" s="325"/>
      <c r="I65" s="325"/>
      <c r="J65" s="325"/>
      <c r="K65" s="325"/>
      <c r="L65" s="325"/>
      <c r="M65" s="325"/>
      <c r="N65" s="325"/>
      <c r="O65" s="325"/>
      <c r="P65" s="325"/>
      <c r="Q65" s="325"/>
      <c r="R65" s="325"/>
      <c r="S65" s="325"/>
      <c r="T65" s="325"/>
      <c r="U65" s="325"/>
      <c r="V65" s="325"/>
      <c r="W65" s="325"/>
      <c r="X65" s="325"/>
      <c r="Y65" s="325"/>
      <c r="Z65" s="325"/>
      <c r="AA65" s="325"/>
      <c r="AB65" s="150"/>
      <c r="AC65" s="150"/>
      <c r="AD65" s="150"/>
      <c r="AE65" s="150"/>
      <c r="AF65" s="150"/>
      <c r="AG65" s="150"/>
      <c r="AH65" s="150"/>
      <c r="AI65" s="150"/>
      <c r="AJ65" s="141"/>
    </row>
    <row r="66" spans="1:36" ht="12.75" customHeight="1">
      <c r="A66" s="151">
        <v>2</v>
      </c>
      <c r="B66" s="332" t="str">
        <f>B55</f>
        <v>PAVIMENTAÇÃO</v>
      </c>
      <c r="C66" s="333"/>
      <c r="D66" s="333"/>
      <c r="E66" s="333"/>
      <c r="F66" s="333"/>
      <c r="G66" s="333"/>
      <c r="H66" s="333"/>
      <c r="I66" s="333"/>
      <c r="J66" s="333"/>
      <c r="K66" s="333"/>
      <c r="L66" s="333"/>
      <c r="M66" s="333"/>
      <c r="N66" s="333"/>
      <c r="O66" s="333"/>
      <c r="P66" s="333"/>
      <c r="Q66" s="333"/>
      <c r="R66" s="333"/>
      <c r="S66" s="333"/>
      <c r="T66" s="333"/>
      <c r="U66" s="333"/>
      <c r="V66" s="333"/>
      <c r="W66" s="333"/>
      <c r="X66" s="333"/>
      <c r="Y66" s="333"/>
      <c r="Z66" s="333"/>
      <c r="AA66" s="333"/>
      <c r="AB66" s="333"/>
      <c r="AC66" s="333"/>
      <c r="AD66" s="333"/>
      <c r="AE66" s="333"/>
      <c r="AF66" s="333"/>
      <c r="AG66" s="333"/>
      <c r="AH66" s="333"/>
      <c r="AI66" s="334"/>
      <c r="AJ66" s="141"/>
    </row>
    <row r="67" spans="1:36" ht="12.75" customHeight="1">
      <c r="A67" s="149" t="s">
        <v>52</v>
      </c>
      <c r="B67" s="315" t="str">
        <f>B56</f>
        <v>REGULARIZAÇÃO DO SUB-LEITO (PROCTOR NORMAL)</v>
      </c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 t="str">
        <f>O56</f>
        <v>m²</v>
      </c>
      <c r="P67" s="315"/>
      <c r="Q67" s="316">
        <f>(345*6.4)+(6*6*2)</f>
        <v>2280</v>
      </c>
      <c r="R67" s="316"/>
      <c r="S67" s="316"/>
      <c r="T67" s="317" t="s">
        <v>174</v>
      </c>
      <c r="U67" s="317"/>
      <c r="V67" s="317"/>
      <c r="W67" s="317"/>
      <c r="X67" s="317"/>
      <c r="Y67" s="317"/>
      <c r="Z67" s="317"/>
      <c r="AA67" s="317"/>
      <c r="AB67" s="317"/>
      <c r="AC67" s="317"/>
      <c r="AD67" s="317"/>
      <c r="AE67" s="317"/>
      <c r="AF67" s="317"/>
      <c r="AG67" s="317"/>
      <c r="AH67" s="317"/>
      <c r="AI67" s="317"/>
      <c r="AJ67" s="141"/>
    </row>
    <row r="68" spans="1:36" ht="38.25" customHeight="1">
      <c r="A68" s="149" t="s">
        <v>55</v>
      </c>
      <c r="B68" s="315" t="str">
        <f>B57</f>
        <v>EXECUÇÃODECALÇAMENTOEMBLOQUETE-E=8CM - FCK=35MPA,INCLUINDOFORNECIMENTOETRANSPORTEDETODOSOSMATERIAIS, COLCHÃO DE ASSENTAMENTO E = 6 CM</v>
      </c>
      <c r="C68" s="315"/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 t="str">
        <f>O57</f>
        <v>m²</v>
      </c>
      <c r="P68" s="315"/>
      <c r="Q68" s="316">
        <f>Q67</f>
        <v>2280</v>
      </c>
      <c r="R68" s="316"/>
      <c r="S68" s="316"/>
      <c r="T68" s="317" t="str">
        <f>T67</f>
        <v>comprim. * larg. (345*6,40) + entrada das tranversais (6*6*2)</v>
      </c>
      <c r="U68" s="317"/>
      <c r="V68" s="317"/>
      <c r="W68" s="317"/>
      <c r="X68" s="317"/>
      <c r="Y68" s="317"/>
      <c r="Z68" s="317"/>
      <c r="AA68" s="317"/>
      <c r="AB68" s="317"/>
      <c r="AC68" s="317"/>
      <c r="AD68" s="317"/>
      <c r="AE68" s="317"/>
      <c r="AF68" s="317"/>
      <c r="AG68" s="317"/>
      <c r="AH68" s="317"/>
      <c r="AI68" s="317"/>
      <c r="AJ68" s="141"/>
    </row>
    <row r="69" spans="1:36" ht="12.75" customHeight="1">
      <c r="A69" s="152" t="s">
        <v>55</v>
      </c>
      <c r="B69" s="329" t="str">
        <f>B58</f>
        <v>CALÇADAS</v>
      </c>
      <c r="C69" s="330"/>
      <c r="D69" s="330"/>
      <c r="E69" s="330"/>
      <c r="F69" s="330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  <c r="R69" s="330"/>
      <c r="S69" s="330"/>
      <c r="T69" s="330"/>
      <c r="U69" s="330"/>
      <c r="V69" s="330"/>
      <c r="W69" s="330"/>
      <c r="X69" s="330"/>
      <c r="Y69" s="330"/>
      <c r="Z69" s="330"/>
      <c r="AA69" s="330"/>
      <c r="AB69" s="330"/>
      <c r="AC69" s="330"/>
      <c r="AD69" s="330"/>
      <c r="AE69" s="330"/>
      <c r="AF69" s="330"/>
      <c r="AG69" s="330"/>
      <c r="AH69" s="330"/>
      <c r="AI69" s="331"/>
      <c r="AJ69" s="141"/>
    </row>
    <row r="70" spans="1:36" ht="25.5" customHeight="1">
      <c r="A70" s="149" t="s">
        <v>127</v>
      </c>
      <c r="B70" s="315" t="str">
        <f t="shared" ref="B70:B75" si="4">B59</f>
        <v>EXECUÇÃO DE PASSEIO (CALÇADA) COM CONCRETO MOLDADO IN LOCO FEITO EM OBRA, ACABAMENTO CONVENCIONAL, NÃO ARMADO</v>
      </c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 t="str">
        <f>O59</f>
        <v>m³</v>
      </c>
      <c r="P70" s="315"/>
      <c r="Q70" s="316">
        <f>((690-6*6))*1.5*0.07</f>
        <v>68.67</v>
      </c>
      <c r="R70" s="316"/>
      <c r="S70" s="316"/>
      <c r="T70" s="317" t="s">
        <v>176</v>
      </c>
      <c r="U70" s="317"/>
      <c r="V70" s="317"/>
      <c r="W70" s="317"/>
      <c r="X70" s="317"/>
      <c r="Y70" s="317"/>
      <c r="Z70" s="317"/>
      <c r="AA70" s="317"/>
      <c r="AB70" s="317"/>
      <c r="AC70" s="317"/>
      <c r="AD70" s="317"/>
      <c r="AE70" s="317"/>
      <c r="AF70" s="317"/>
      <c r="AG70" s="317"/>
      <c r="AH70" s="317"/>
      <c r="AI70" s="317"/>
      <c r="AJ70" s="141"/>
    </row>
    <row r="71" spans="1:36" ht="12.75" customHeight="1">
      <c r="A71" s="149" t="s">
        <v>129</v>
      </c>
      <c r="B71" s="315" t="str">
        <f t="shared" si="4"/>
        <v>LADRILHO HIDRAULICO AMARELO 20X20 (DIRECIONAL)</v>
      </c>
      <c r="C71" s="315"/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 t="str">
        <f>O60</f>
        <v>m</v>
      </c>
      <c r="P71" s="315"/>
      <c r="Q71" s="316">
        <f>(690-42)*0.2</f>
        <v>129.6</v>
      </c>
      <c r="R71" s="316"/>
      <c r="S71" s="316"/>
      <c r="T71" s="317" t="s">
        <v>211</v>
      </c>
      <c r="U71" s="317"/>
      <c r="V71" s="317"/>
      <c r="W71" s="317"/>
      <c r="X71" s="317"/>
      <c r="Y71" s="317"/>
      <c r="Z71" s="317"/>
      <c r="AA71" s="317"/>
      <c r="AB71" s="317"/>
      <c r="AC71" s="317"/>
      <c r="AD71" s="317"/>
      <c r="AE71" s="317"/>
      <c r="AF71" s="317"/>
      <c r="AG71" s="317"/>
      <c r="AH71" s="317"/>
      <c r="AI71" s="317"/>
      <c r="AJ71" s="141"/>
    </row>
    <row r="72" spans="1:36" ht="12.75" customHeight="1">
      <c r="A72" s="149" t="s">
        <v>130</v>
      </c>
      <c r="B72" s="315" t="str">
        <f t="shared" si="4"/>
        <v>LADRILHO HIDRAULICO VERMELHO 20X20 (ALERTA)</v>
      </c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 t="str">
        <f>O61</f>
        <v>m</v>
      </c>
      <c r="P72" s="315"/>
      <c r="Q72" s="316">
        <f>50.8*0.2</f>
        <v>10.16</v>
      </c>
      <c r="R72" s="316"/>
      <c r="S72" s="316"/>
      <c r="T72" s="317" t="s">
        <v>212</v>
      </c>
      <c r="U72" s="317"/>
      <c r="V72" s="317"/>
      <c r="W72" s="317"/>
      <c r="X72" s="317"/>
      <c r="Y72" s="317"/>
      <c r="Z72" s="317"/>
      <c r="AA72" s="317"/>
      <c r="AB72" s="317"/>
      <c r="AC72" s="317"/>
      <c r="AD72" s="317"/>
      <c r="AE72" s="317"/>
      <c r="AF72" s="317"/>
      <c r="AG72" s="317"/>
      <c r="AH72" s="317"/>
      <c r="AI72" s="317"/>
      <c r="AJ72" s="141"/>
    </row>
    <row r="73" spans="1:36" ht="12.75" customHeight="1">
      <c r="A73" s="152" t="s">
        <v>131</v>
      </c>
      <c r="B73" s="326" t="str">
        <f t="shared" si="4"/>
        <v>MEIO FIO E SARJETA</v>
      </c>
      <c r="C73" s="327"/>
      <c r="D73" s="327"/>
      <c r="E73" s="327"/>
      <c r="F73" s="327"/>
      <c r="G73" s="327"/>
      <c r="H73" s="327"/>
      <c r="I73" s="327"/>
      <c r="J73" s="327"/>
      <c r="K73" s="327"/>
      <c r="L73" s="327"/>
      <c r="M73" s="327"/>
      <c r="N73" s="327"/>
      <c r="O73" s="327"/>
      <c r="P73" s="327"/>
      <c r="Q73" s="327"/>
      <c r="R73" s="327"/>
      <c r="S73" s="327"/>
      <c r="T73" s="327"/>
      <c r="U73" s="327"/>
      <c r="V73" s="327"/>
      <c r="W73" s="327"/>
      <c r="X73" s="327"/>
      <c r="Y73" s="327"/>
      <c r="Z73" s="327"/>
      <c r="AA73" s="327"/>
      <c r="AB73" s="327"/>
      <c r="AC73" s="327"/>
      <c r="AD73" s="327"/>
      <c r="AE73" s="327"/>
      <c r="AF73" s="327"/>
      <c r="AG73" s="327"/>
      <c r="AH73" s="327"/>
      <c r="AI73" s="328"/>
      <c r="AJ73" s="141"/>
    </row>
    <row r="74" spans="1:36" ht="36" customHeight="1">
      <c r="A74" s="149" t="s">
        <v>132</v>
      </c>
      <c r="B74" s="315" t="str">
        <f t="shared" si="4"/>
        <v>ASSENTAMENTO DE GUIA (MEIO-FIO) EM TRECHO RETO, CONFECCIONADA EM CONCRETOPRÉ-FABRICADO, DIMENSÕES 100X15X13X30 CM (COMPRIMENTO X BASE INFERIOR X BASE SUPERIOR X ALTURA), PARA VIAS URBANAS (USO VIÁRIO)</v>
      </c>
      <c r="C74" s="315"/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 t="str">
        <f>O63</f>
        <v>m</v>
      </c>
      <c r="P74" s="315"/>
      <c r="Q74" s="316">
        <f>Planilha1!R10</f>
        <v>678</v>
      </c>
      <c r="R74" s="316"/>
      <c r="S74" s="316"/>
      <c r="T74" s="317" t="s">
        <v>195</v>
      </c>
      <c r="U74" s="317"/>
      <c r="V74" s="317"/>
      <c r="W74" s="317"/>
      <c r="X74" s="317"/>
      <c r="Y74" s="317"/>
      <c r="Z74" s="317"/>
      <c r="AA74" s="317"/>
      <c r="AB74" s="317"/>
      <c r="AC74" s="317"/>
      <c r="AD74" s="317"/>
      <c r="AE74" s="317"/>
      <c r="AF74" s="317"/>
      <c r="AG74" s="317"/>
      <c r="AH74" s="317"/>
      <c r="AI74" s="317"/>
      <c r="AJ74" s="141"/>
    </row>
    <row r="75" spans="1:36" ht="30.75" customHeight="1">
      <c r="A75" s="149" t="s">
        <v>133</v>
      </c>
      <c r="B75" s="315" t="str">
        <f t="shared" si="4"/>
        <v>30 CM BASE X 10 CM ALTURA EXECUÇÃO DE SARJETA DE CONCRETO USINADO, MOLDADA IN LOCO EM TRECHO RETO</v>
      </c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 t="str">
        <f>O64</f>
        <v>m</v>
      </c>
      <c r="P75" s="315"/>
      <c r="Q75" s="316">
        <f>Q74</f>
        <v>678</v>
      </c>
      <c r="R75" s="316"/>
      <c r="S75" s="316"/>
      <c r="T75" s="317" t="str">
        <f>T74</f>
        <v>comprim. (345*2)- tranversais (6*6)+ entrada das tranversais e travamentos (12*2)</v>
      </c>
      <c r="U75" s="317"/>
      <c r="V75" s="317"/>
      <c r="W75" s="317"/>
      <c r="X75" s="317"/>
      <c r="Y75" s="317"/>
      <c r="Z75" s="317"/>
      <c r="AA75" s="317"/>
      <c r="AB75" s="317"/>
      <c r="AC75" s="317"/>
      <c r="AD75" s="317"/>
      <c r="AE75" s="317"/>
      <c r="AF75" s="317"/>
      <c r="AG75" s="317"/>
      <c r="AH75" s="317"/>
      <c r="AI75" s="317"/>
      <c r="AJ75" s="141"/>
    </row>
    <row r="76" spans="1:36" ht="12.75" customHeight="1">
      <c r="A76" s="325" t="str">
        <f>Planilha1!B11</f>
        <v>Maria Ribeiro Silva trcho 1</v>
      </c>
      <c r="B76" s="325"/>
      <c r="C76" s="325"/>
      <c r="D76" s="325"/>
      <c r="E76" s="325"/>
      <c r="F76" s="325"/>
      <c r="G76" s="325"/>
      <c r="H76" s="325"/>
      <c r="I76" s="325"/>
      <c r="J76" s="325"/>
      <c r="K76" s="325"/>
      <c r="L76" s="325"/>
      <c r="M76" s="325"/>
      <c r="N76" s="325"/>
      <c r="O76" s="325"/>
      <c r="P76" s="325"/>
      <c r="Q76" s="325"/>
      <c r="R76" s="325"/>
      <c r="S76" s="325"/>
      <c r="T76" s="325"/>
      <c r="U76" s="325"/>
      <c r="V76" s="325"/>
      <c r="W76" s="325"/>
      <c r="X76" s="325"/>
      <c r="Y76" s="325"/>
      <c r="Z76" s="325"/>
      <c r="AA76" s="325"/>
      <c r="AB76" s="150"/>
      <c r="AC76" s="150"/>
      <c r="AD76" s="150"/>
      <c r="AE76" s="150"/>
      <c r="AF76" s="150"/>
      <c r="AG76" s="150"/>
      <c r="AH76" s="150"/>
      <c r="AI76" s="150"/>
      <c r="AJ76" s="141"/>
    </row>
    <row r="77" spans="1:36" ht="12.75" customHeight="1">
      <c r="A77" s="151">
        <v>2</v>
      </c>
      <c r="B77" s="332" t="str">
        <f>B66</f>
        <v>PAVIMENTAÇÃO</v>
      </c>
      <c r="C77" s="333"/>
      <c r="D77" s="333"/>
      <c r="E77" s="333"/>
      <c r="F77" s="333"/>
      <c r="G77" s="333"/>
      <c r="H77" s="333"/>
      <c r="I77" s="333"/>
      <c r="J77" s="333"/>
      <c r="K77" s="333"/>
      <c r="L77" s="333"/>
      <c r="M77" s="333"/>
      <c r="N77" s="333"/>
      <c r="O77" s="333"/>
      <c r="P77" s="333"/>
      <c r="Q77" s="333"/>
      <c r="R77" s="333"/>
      <c r="S77" s="333"/>
      <c r="T77" s="333"/>
      <c r="U77" s="333"/>
      <c r="V77" s="333"/>
      <c r="W77" s="333"/>
      <c r="X77" s="333"/>
      <c r="Y77" s="333"/>
      <c r="Z77" s="333"/>
      <c r="AA77" s="333"/>
      <c r="AB77" s="333"/>
      <c r="AC77" s="333"/>
      <c r="AD77" s="333"/>
      <c r="AE77" s="333"/>
      <c r="AF77" s="333"/>
      <c r="AG77" s="333"/>
      <c r="AH77" s="333"/>
      <c r="AI77" s="334"/>
      <c r="AJ77" s="141"/>
    </row>
    <row r="78" spans="1:36" ht="12.75" customHeight="1">
      <c r="A78" s="149" t="s">
        <v>52</v>
      </c>
      <c r="B78" s="315" t="str">
        <f>B67</f>
        <v>REGULARIZAÇÃO DO SUB-LEITO (PROCTOR NORMAL)</v>
      </c>
      <c r="C78" s="315"/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 t="str">
        <f>O67</f>
        <v>m²</v>
      </c>
      <c r="P78" s="315"/>
      <c r="Q78" s="316">
        <f>Q79</f>
        <v>770</v>
      </c>
      <c r="R78" s="316"/>
      <c r="S78" s="316"/>
      <c r="T78" s="317" t="s">
        <v>177</v>
      </c>
      <c r="U78" s="317"/>
      <c r="V78" s="317"/>
      <c r="W78" s="317"/>
      <c r="X78" s="317"/>
      <c r="Y78" s="317"/>
      <c r="Z78" s="317"/>
      <c r="AA78" s="317"/>
      <c r="AB78" s="317"/>
      <c r="AC78" s="317"/>
      <c r="AD78" s="317"/>
      <c r="AE78" s="317"/>
      <c r="AF78" s="317"/>
      <c r="AG78" s="317"/>
      <c r="AH78" s="317"/>
      <c r="AI78" s="317"/>
      <c r="AJ78" s="141"/>
    </row>
    <row r="79" spans="1:36" ht="36.75" customHeight="1">
      <c r="A79" s="149" t="s">
        <v>55</v>
      </c>
      <c r="B79" s="315" t="str">
        <f>B68</f>
        <v>EXECUÇÃODECALÇAMENTOEMBLOQUETE-E=8CM - FCK=35MPA,INCLUINDOFORNECIMENTOETRANSPORTEDETODOSOSMATERIAIS, COLCHÃO DE ASSENTAMENTO E = 6 CM</v>
      </c>
      <c r="C79" s="315"/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 t="str">
        <f>O68</f>
        <v>m²</v>
      </c>
      <c r="P79" s="315"/>
      <c r="Q79" s="316">
        <f>110*7</f>
        <v>770</v>
      </c>
      <c r="R79" s="316"/>
      <c r="S79" s="316"/>
      <c r="T79" s="317" t="str">
        <f>T78</f>
        <v>comprim. * larg. (110*7)</v>
      </c>
      <c r="U79" s="317"/>
      <c r="V79" s="317"/>
      <c r="W79" s="317"/>
      <c r="X79" s="317"/>
      <c r="Y79" s="317"/>
      <c r="Z79" s="317"/>
      <c r="AA79" s="317"/>
      <c r="AB79" s="317"/>
      <c r="AC79" s="317"/>
      <c r="AD79" s="317"/>
      <c r="AE79" s="317"/>
      <c r="AF79" s="317"/>
      <c r="AG79" s="317"/>
      <c r="AH79" s="317"/>
      <c r="AI79" s="317"/>
      <c r="AJ79" s="141"/>
    </row>
    <row r="80" spans="1:36" ht="12.75" customHeight="1">
      <c r="A80" s="152" t="s">
        <v>55</v>
      </c>
      <c r="B80" s="329" t="str">
        <f>B69</f>
        <v>CALÇADAS</v>
      </c>
      <c r="C80" s="330"/>
      <c r="D80" s="330"/>
      <c r="E80" s="330"/>
      <c r="F80" s="330"/>
      <c r="G80" s="330"/>
      <c r="H80" s="330"/>
      <c r="I80" s="330"/>
      <c r="J80" s="330"/>
      <c r="K80" s="330"/>
      <c r="L80" s="330"/>
      <c r="M80" s="330"/>
      <c r="N80" s="330"/>
      <c r="O80" s="330"/>
      <c r="P80" s="330"/>
      <c r="Q80" s="330"/>
      <c r="R80" s="330"/>
      <c r="S80" s="330"/>
      <c r="T80" s="330"/>
      <c r="U80" s="330"/>
      <c r="V80" s="330"/>
      <c r="W80" s="330"/>
      <c r="X80" s="330"/>
      <c r="Y80" s="330"/>
      <c r="Z80" s="330"/>
      <c r="AA80" s="330"/>
      <c r="AB80" s="330"/>
      <c r="AC80" s="330"/>
      <c r="AD80" s="330"/>
      <c r="AE80" s="330"/>
      <c r="AF80" s="330"/>
      <c r="AG80" s="330"/>
      <c r="AH80" s="330"/>
      <c r="AI80" s="331"/>
      <c r="AJ80" s="141"/>
    </row>
    <row r="81" spans="1:36" ht="26.25" customHeight="1">
      <c r="A81" s="149" t="s">
        <v>127</v>
      </c>
      <c r="B81" s="315" t="str">
        <f t="shared" ref="B81:B86" si="5">B70</f>
        <v>EXECUÇÃO DE PASSEIO (CALÇADA) COM CONCRETO MOLDADO IN LOCO FEITO EM OBRA, ACABAMENTO CONVENCIONAL, NÃO ARMADO</v>
      </c>
      <c r="C81" s="315"/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 t="str">
        <f>O70</f>
        <v>m³</v>
      </c>
      <c r="P81" s="315"/>
      <c r="Q81" s="316">
        <f>110*2*1.5*0.07</f>
        <v>23.1</v>
      </c>
      <c r="R81" s="316"/>
      <c r="S81" s="316"/>
      <c r="T81" s="317" t="s">
        <v>179</v>
      </c>
      <c r="U81" s="317"/>
      <c r="V81" s="317"/>
      <c r="W81" s="317"/>
      <c r="X81" s="317"/>
      <c r="Y81" s="317"/>
      <c r="Z81" s="317"/>
      <c r="AA81" s="317"/>
      <c r="AB81" s="317"/>
      <c r="AC81" s="317"/>
      <c r="AD81" s="317"/>
      <c r="AE81" s="317"/>
      <c r="AF81" s="317"/>
      <c r="AG81" s="317"/>
      <c r="AH81" s="317"/>
      <c r="AI81" s="317"/>
      <c r="AJ81" s="141"/>
    </row>
    <row r="82" spans="1:36" ht="12.75" customHeight="1">
      <c r="A82" s="149" t="s">
        <v>129</v>
      </c>
      <c r="B82" s="315" t="str">
        <f t="shared" si="5"/>
        <v>LADRILHO HIDRAULICO AMARELO 20X20 (DIRECIONAL)</v>
      </c>
      <c r="C82" s="315"/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 t="str">
        <f>O71</f>
        <v>m</v>
      </c>
      <c r="P82" s="315"/>
      <c r="Q82" s="316">
        <f>(220-14)*0.2</f>
        <v>41.2</v>
      </c>
      <c r="R82" s="316"/>
      <c r="S82" s="316"/>
      <c r="T82" s="317" t="s">
        <v>213</v>
      </c>
      <c r="U82" s="317"/>
      <c r="V82" s="317"/>
      <c r="W82" s="317"/>
      <c r="X82" s="317"/>
      <c r="Y82" s="317"/>
      <c r="Z82" s="317"/>
      <c r="AA82" s="317"/>
      <c r="AB82" s="317"/>
      <c r="AC82" s="317"/>
      <c r="AD82" s="317"/>
      <c r="AE82" s="317"/>
      <c r="AF82" s="317"/>
      <c r="AG82" s="317"/>
      <c r="AH82" s="317"/>
      <c r="AI82" s="317"/>
      <c r="AJ82" s="141"/>
    </row>
    <row r="83" spans="1:36" ht="12.75" customHeight="1">
      <c r="A83" s="149" t="s">
        <v>130</v>
      </c>
      <c r="B83" s="315" t="str">
        <f t="shared" si="5"/>
        <v>LADRILHO HIDRAULICO VERMELHO 20X20 (ALERTA)</v>
      </c>
      <c r="C83" s="315"/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 t="str">
        <f>O72</f>
        <v>m</v>
      </c>
      <c r="P83" s="315"/>
      <c r="Q83" s="316">
        <f>13.6*0.2</f>
        <v>2.72</v>
      </c>
      <c r="R83" s="316"/>
      <c r="S83" s="316"/>
      <c r="T83" s="317" t="s">
        <v>214</v>
      </c>
      <c r="U83" s="317"/>
      <c r="V83" s="317"/>
      <c r="W83" s="317"/>
      <c r="X83" s="317"/>
      <c r="Y83" s="317"/>
      <c r="Z83" s="317"/>
      <c r="AA83" s="317"/>
      <c r="AB83" s="317"/>
      <c r="AC83" s="317"/>
      <c r="AD83" s="317"/>
      <c r="AE83" s="317"/>
      <c r="AF83" s="317"/>
      <c r="AG83" s="317"/>
      <c r="AH83" s="317"/>
      <c r="AI83" s="317"/>
      <c r="AJ83" s="141"/>
    </row>
    <row r="84" spans="1:36" ht="12.75" customHeight="1">
      <c r="A84" s="152" t="s">
        <v>131</v>
      </c>
      <c r="B84" s="335" t="str">
        <f t="shared" si="5"/>
        <v>MEIO FIO E SARJETA</v>
      </c>
      <c r="C84" s="335"/>
      <c r="D84" s="335"/>
      <c r="E84" s="335"/>
      <c r="F84" s="335"/>
      <c r="G84" s="335"/>
      <c r="H84" s="335"/>
      <c r="I84" s="335"/>
      <c r="J84" s="335"/>
      <c r="K84" s="335"/>
      <c r="L84" s="335"/>
      <c r="M84" s="335"/>
      <c r="N84" s="335"/>
      <c r="O84" s="336"/>
      <c r="P84" s="336"/>
      <c r="Q84" s="337"/>
      <c r="R84" s="337"/>
      <c r="S84" s="337"/>
      <c r="T84" s="338"/>
      <c r="U84" s="338"/>
      <c r="V84" s="338"/>
      <c r="W84" s="338"/>
      <c r="X84" s="338"/>
      <c r="Y84" s="338"/>
      <c r="Z84" s="338"/>
      <c r="AA84" s="338"/>
      <c r="AB84" s="338"/>
      <c r="AC84" s="338"/>
      <c r="AD84" s="338"/>
      <c r="AE84" s="338"/>
      <c r="AF84" s="338"/>
      <c r="AG84" s="338"/>
      <c r="AH84" s="338"/>
      <c r="AI84" s="338"/>
      <c r="AJ84" s="141"/>
    </row>
    <row r="85" spans="1:36" ht="40.5" customHeight="1">
      <c r="A85" s="149" t="s">
        <v>132</v>
      </c>
      <c r="B85" s="315" t="str">
        <f t="shared" si="5"/>
        <v>ASSENTAMENTO DE GUIA (MEIO-FIO) EM TRECHO RETO, CONFECCIONADA EM CONCRETOPRÉ-FABRICADO, DIMENSÕES 100X15X13X30 CM (COMPRIMENTO X BASE INFERIOR X BASE SUPERIOR X ALTURA), PARA VIAS URBANAS (USO VIÁRIO)</v>
      </c>
      <c r="C85" s="315"/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 t="str">
        <f>O74</f>
        <v>m</v>
      </c>
      <c r="P85" s="315"/>
      <c r="Q85" s="316">
        <f>110*2</f>
        <v>220</v>
      </c>
      <c r="R85" s="316"/>
      <c r="S85" s="316"/>
      <c r="T85" s="317" t="s">
        <v>178</v>
      </c>
      <c r="U85" s="317"/>
      <c r="V85" s="317"/>
      <c r="W85" s="317"/>
      <c r="X85" s="317"/>
      <c r="Y85" s="317"/>
      <c r="Z85" s="317"/>
      <c r="AA85" s="317"/>
      <c r="AB85" s="317"/>
      <c r="AC85" s="317"/>
      <c r="AD85" s="317"/>
      <c r="AE85" s="317"/>
      <c r="AF85" s="317"/>
      <c r="AG85" s="317"/>
      <c r="AH85" s="317"/>
      <c r="AI85" s="317"/>
      <c r="AJ85" s="141"/>
    </row>
    <row r="86" spans="1:36" ht="12.75" customHeight="1">
      <c r="A86" s="149" t="s">
        <v>133</v>
      </c>
      <c r="B86" s="315" t="str">
        <f t="shared" si="5"/>
        <v>30 CM BASE X 10 CM ALTURA EXECUÇÃO DE SARJETA DE CONCRETO USINADO, MOLDADA IN LOCO EM TRECHO RETO</v>
      </c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 t="str">
        <f>O75</f>
        <v>m</v>
      </c>
      <c r="P86" s="315"/>
      <c r="Q86" s="316">
        <f>110*2</f>
        <v>220</v>
      </c>
      <c r="R86" s="316"/>
      <c r="S86" s="316"/>
      <c r="T86" s="317" t="str">
        <f>T85</f>
        <v>comprim. * quantidade (110*2)</v>
      </c>
      <c r="U86" s="317"/>
      <c r="V86" s="317"/>
      <c r="W86" s="317"/>
      <c r="X86" s="317"/>
      <c r="Y86" s="317"/>
      <c r="Z86" s="317"/>
      <c r="AA86" s="317"/>
      <c r="AB86" s="317"/>
      <c r="AC86" s="317"/>
      <c r="AD86" s="317"/>
      <c r="AE86" s="317"/>
      <c r="AF86" s="317"/>
      <c r="AG86" s="317"/>
      <c r="AH86" s="317"/>
      <c r="AI86" s="317"/>
      <c r="AJ86" s="141"/>
    </row>
    <row r="87" spans="1:36" ht="12.75" customHeight="1">
      <c r="A87" s="325" t="str">
        <f>Planilha1!B12</f>
        <v>Maria Ribeiro Silva trcho 2</v>
      </c>
      <c r="B87" s="325"/>
      <c r="C87" s="325"/>
      <c r="D87" s="325"/>
      <c r="E87" s="325"/>
      <c r="F87" s="325"/>
      <c r="G87" s="325"/>
      <c r="H87" s="325"/>
      <c r="I87" s="325"/>
      <c r="J87" s="325"/>
      <c r="K87" s="325"/>
      <c r="L87" s="325"/>
      <c r="M87" s="325"/>
      <c r="N87" s="325"/>
      <c r="O87" s="325"/>
      <c r="P87" s="325"/>
      <c r="Q87" s="325"/>
      <c r="R87" s="325"/>
      <c r="S87" s="325"/>
      <c r="T87" s="325"/>
      <c r="U87" s="325"/>
      <c r="V87" s="325"/>
      <c r="W87" s="325"/>
      <c r="X87" s="325"/>
      <c r="Y87" s="325"/>
      <c r="Z87" s="325"/>
      <c r="AA87" s="325"/>
      <c r="AB87" s="150"/>
      <c r="AC87" s="150"/>
      <c r="AD87" s="150"/>
      <c r="AE87" s="150"/>
      <c r="AF87" s="150"/>
      <c r="AG87" s="150"/>
      <c r="AH87" s="150"/>
      <c r="AI87" s="150"/>
      <c r="AJ87" s="141"/>
    </row>
    <row r="88" spans="1:36" ht="12.75" customHeight="1">
      <c r="A88" s="151">
        <v>2</v>
      </c>
      <c r="B88" s="332" t="str">
        <f>B77</f>
        <v>PAVIMENTAÇÃO</v>
      </c>
      <c r="C88" s="333"/>
      <c r="D88" s="333"/>
      <c r="E88" s="333"/>
      <c r="F88" s="333"/>
      <c r="G88" s="333"/>
      <c r="H88" s="333"/>
      <c r="I88" s="333"/>
      <c r="J88" s="333"/>
      <c r="K88" s="333"/>
      <c r="L88" s="333"/>
      <c r="M88" s="333"/>
      <c r="N88" s="333"/>
      <c r="O88" s="333"/>
      <c r="P88" s="333"/>
      <c r="Q88" s="333"/>
      <c r="R88" s="333"/>
      <c r="S88" s="333"/>
      <c r="T88" s="333"/>
      <c r="U88" s="333"/>
      <c r="V88" s="333"/>
      <c r="W88" s="333"/>
      <c r="X88" s="333"/>
      <c r="Y88" s="333"/>
      <c r="Z88" s="333"/>
      <c r="AA88" s="333"/>
      <c r="AB88" s="333"/>
      <c r="AC88" s="333"/>
      <c r="AD88" s="333"/>
      <c r="AE88" s="333"/>
      <c r="AF88" s="333"/>
      <c r="AG88" s="333"/>
      <c r="AH88" s="333"/>
      <c r="AI88" s="334"/>
      <c r="AJ88" s="141"/>
    </row>
    <row r="89" spans="1:36" ht="12.75" customHeight="1">
      <c r="A89" s="149" t="s">
        <v>52</v>
      </c>
      <c r="B89" s="315" t="str">
        <f>B78</f>
        <v>REGULARIZAÇÃO DO SUB-LEITO (PROCTOR NORMAL)</v>
      </c>
      <c r="C89" s="315"/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 t="str">
        <f>O78</f>
        <v>m²</v>
      </c>
      <c r="P89" s="315"/>
      <c r="Q89" s="316">
        <f>90*7</f>
        <v>630</v>
      </c>
      <c r="R89" s="316"/>
      <c r="S89" s="316"/>
      <c r="T89" s="317" t="s">
        <v>189</v>
      </c>
      <c r="U89" s="317"/>
      <c r="V89" s="317"/>
      <c r="W89" s="317"/>
      <c r="X89" s="317"/>
      <c r="Y89" s="317"/>
      <c r="Z89" s="317"/>
      <c r="AA89" s="317"/>
      <c r="AB89" s="317"/>
      <c r="AC89" s="317"/>
      <c r="AD89" s="317"/>
      <c r="AE89" s="317"/>
      <c r="AF89" s="317"/>
      <c r="AG89" s="317"/>
      <c r="AH89" s="317"/>
      <c r="AI89" s="317"/>
      <c r="AJ89" s="141"/>
    </row>
    <row r="90" spans="1:36" ht="36.75" customHeight="1">
      <c r="A90" s="149" t="s">
        <v>55</v>
      </c>
      <c r="B90" s="315" t="str">
        <f>B79</f>
        <v>EXECUÇÃODECALÇAMENTOEMBLOQUETE-E=8CM - FCK=35MPA,INCLUINDOFORNECIMENTOETRANSPORTEDETODOSOSMATERIAIS, COLCHÃO DE ASSENTAMENTO E = 6 CM</v>
      </c>
      <c r="C90" s="315"/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 t="str">
        <f>O79</f>
        <v>m²</v>
      </c>
      <c r="P90" s="315"/>
      <c r="Q90" s="316">
        <f>Q89</f>
        <v>630</v>
      </c>
      <c r="R90" s="316"/>
      <c r="S90" s="316"/>
      <c r="T90" s="317" t="str">
        <f>T89</f>
        <v>comprim. * larg (90*7)</v>
      </c>
      <c r="U90" s="317"/>
      <c r="V90" s="317"/>
      <c r="W90" s="317"/>
      <c r="X90" s="317"/>
      <c r="Y90" s="317"/>
      <c r="Z90" s="317"/>
      <c r="AA90" s="317"/>
      <c r="AB90" s="317"/>
      <c r="AC90" s="317"/>
      <c r="AD90" s="317"/>
      <c r="AE90" s="317"/>
      <c r="AF90" s="317"/>
      <c r="AG90" s="317"/>
      <c r="AH90" s="317"/>
      <c r="AI90" s="317"/>
      <c r="AJ90" s="141"/>
    </row>
    <row r="91" spans="1:36" ht="12.75" customHeight="1">
      <c r="A91" s="152" t="s">
        <v>55</v>
      </c>
      <c r="B91" s="336" t="str">
        <f>B80</f>
        <v>CALÇADAS</v>
      </c>
      <c r="C91" s="336"/>
      <c r="D91" s="336"/>
      <c r="E91" s="336"/>
      <c r="F91" s="336"/>
      <c r="G91" s="336"/>
      <c r="H91" s="336"/>
      <c r="I91" s="336"/>
      <c r="J91" s="336"/>
      <c r="K91" s="336"/>
      <c r="L91" s="336"/>
      <c r="M91" s="336"/>
      <c r="N91" s="336"/>
      <c r="O91" s="336"/>
      <c r="P91" s="336"/>
      <c r="Q91" s="154"/>
      <c r="R91" s="153"/>
      <c r="S91" s="153"/>
      <c r="T91" s="338"/>
      <c r="U91" s="338"/>
      <c r="V91" s="338"/>
      <c r="W91" s="338"/>
      <c r="X91" s="338"/>
      <c r="Y91" s="338"/>
      <c r="Z91" s="338"/>
      <c r="AA91" s="338"/>
      <c r="AB91" s="338"/>
      <c r="AC91" s="338"/>
      <c r="AD91" s="338"/>
      <c r="AE91" s="338"/>
      <c r="AF91" s="338"/>
      <c r="AG91" s="338"/>
      <c r="AH91" s="338"/>
      <c r="AI91" s="338"/>
      <c r="AJ91" s="141"/>
    </row>
    <row r="92" spans="1:36" ht="24.75" customHeight="1">
      <c r="A92" s="149" t="s">
        <v>127</v>
      </c>
      <c r="B92" s="315" t="str">
        <f t="shared" ref="B92:B97" si="6">B81</f>
        <v>EXECUÇÃO DE PASSEIO (CALÇADA) COM CONCRETO MOLDADO IN LOCO FEITO EM OBRA, ACABAMENTO CONVENCIONAL, NÃO ARMADO</v>
      </c>
      <c r="C92" s="315"/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 t="str">
        <f>O81</f>
        <v>m³</v>
      </c>
      <c r="P92" s="315"/>
      <c r="Q92" s="316">
        <f>90*2*1.5*0.07</f>
        <v>18.900000000000002</v>
      </c>
      <c r="R92" s="316"/>
      <c r="S92" s="316"/>
      <c r="T92" s="317" t="s">
        <v>180</v>
      </c>
      <c r="U92" s="317"/>
      <c r="V92" s="317"/>
      <c r="W92" s="317"/>
      <c r="X92" s="317"/>
      <c r="Y92" s="317"/>
      <c r="Z92" s="317"/>
      <c r="AA92" s="317"/>
      <c r="AB92" s="317"/>
      <c r="AC92" s="317"/>
      <c r="AD92" s="317"/>
      <c r="AE92" s="317"/>
      <c r="AF92" s="317"/>
      <c r="AG92" s="317"/>
      <c r="AH92" s="317"/>
      <c r="AI92" s="317"/>
      <c r="AJ92" s="141"/>
    </row>
    <row r="93" spans="1:36" ht="12.75" customHeight="1">
      <c r="A93" s="149" t="s">
        <v>129</v>
      </c>
      <c r="B93" s="315" t="str">
        <f t="shared" si="6"/>
        <v>LADRILHO HIDRAULICO AMARELO 20X20 (DIRECIONAL)</v>
      </c>
      <c r="C93" s="315"/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 t="str">
        <f>O82</f>
        <v>m</v>
      </c>
      <c r="P93" s="315"/>
      <c r="Q93" s="316">
        <f>(180-24)*0.2</f>
        <v>31.200000000000003</v>
      </c>
      <c r="R93" s="316"/>
      <c r="S93" s="316"/>
      <c r="T93" s="317" t="s">
        <v>215</v>
      </c>
      <c r="U93" s="317"/>
      <c r="V93" s="317"/>
      <c r="W93" s="317"/>
      <c r="X93" s="317"/>
      <c r="Y93" s="317"/>
      <c r="Z93" s="317"/>
      <c r="AA93" s="317"/>
      <c r="AB93" s="317"/>
      <c r="AC93" s="317"/>
      <c r="AD93" s="317"/>
      <c r="AE93" s="317"/>
      <c r="AF93" s="317"/>
      <c r="AG93" s="317"/>
      <c r="AH93" s="317"/>
      <c r="AI93" s="317"/>
      <c r="AJ93" s="141"/>
    </row>
    <row r="94" spans="1:36" ht="12.75" customHeight="1">
      <c r="A94" s="149" t="s">
        <v>130</v>
      </c>
      <c r="B94" s="315" t="str">
        <f t="shared" si="6"/>
        <v>LADRILHO HIDRAULICO VERMELHO 20X20 (ALERTA)</v>
      </c>
      <c r="C94" s="315"/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 t="str">
        <f>O83</f>
        <v>m</v>
      </c>
      <c r="P94" s="315"/>
      <c r="Q94" s="316">
        <f>12.8*0.2</f>
        <v>2.5600000000000005</v>
      </c>
      <c r="R94" s="316"/>
      <c r="S94" s="316"/>
      <c r="T94" s="317" t="s">
        <v>217</v>
      </c>
      <c r="U94" s="317"/>
      <c r="V94" s="317"/>
      <c r="W94" s="317"/>
      <c r="X94" s="317"/>
      <c r="Y94" s="317"/>
      <c r="Z94" s="317"/>
      <c r="AA94" s="317"/>
      <c r="AB94" s="317"/>
      <c r="AC94" s="317"/>
      <c r="AD94" s="317"/>
      <c r="AE94" s="317"/>
      <c r="AF94" s="317"/>
      <c r="AG94" s="317"/>
      <c r="AH94" s="317"/>
      <c r="AI94" s="317"/>
      <c r="AJ94" s="141"/>
    </row>
    <row r="95" spans="1:36" ht="12.75" customHeight="1">
      <c r="A95" s="152" t="s">
        <v>131</v>
      </c>
      <c r="B95" s="335" t="str">
        <f t="shared" si="6"/>
        <v>MEIO FIO E SARJETA</v>
      </c>
      <c r="C95" s="335"/>
      <c r="D95" s="335"/>
      <c r="E95" s="335"/>
      <c r="F95" s="335"/>
      <c r="G95" s="335"/>
      <c r="H95" s="335"/>
      <c r="I95" s="335"/>
      <c r="J95" s="335"/>
      <c r="K95" s="335"/>
      <c r="L95" s="335"/>
      <c r="M95" s="335"/>
      <c r="N95" s="335"/>
      <c r="O95" s="336"/>
      <c r="P95" s="336"/>
      <c r="Q95" s="337"/>
      <c r="R95" s="337"/>
      <c r="S95" s="337"/>
      <c r="T95" s="338"/>
      <c r="U95" s="338"/>
      <c r="V95" s="338"/>
      <c r="W95" s="338"/>
      <c r="X95" s="338"/>
      <c r="Y95" s="338"/>
      <c r="Z95" s="338"/>
      <c r="AA95" s="338"/>
      <c r="AB95" s="338"/>
      <c r="AC95" s="338"/>
      <c r="AD95" s="338"/>
      <c r="AE95" s="338"/>
      <c r="AF95" s="338"/>
      <c r="AG95" s="338"/>
      <c r="AH95" s="338"/>
      <c r="AI95" s="338"/>
      <c r="AJ95" s="141"/>
    </row>
    <row r="96" spans="1:36" ht="36" customHeight="1">
      <c r="A96" s="149" t="s">
        <v>132</v>
      </c>
      <c r="B96" s="315" t="str">
        <f t="shared" si="6"/>
        <v>ASSENTAMENTO DE GUIA (MEIO-FIO) EM TRECHO RETO, CONFECCIONADA EM CONCRETOPRÉ-FABRICADO, DIMENSÕES 100X15X13X30 CM (COMPRIMENTO X BASE INFERIOR X BASE SUPERIOR X ALTURA), PARA VIAS URBANAS (USO VIÁRIO)</v>
      </c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 t="str">
        <f>O85</f>
        <v>m</v>
      </c>
      <c r="P96" s="315"/>
      <c r="Q96" s="316">
        <f>90*2</f>
        <v>180</v>
      </c>
      <c r="R96" s="316"/>
      <c r="S96" s="316"/>
      <c r="T96" s="317" t="s">
        <v>181</v>
      </c>
      <c r="U96" s="317"/>
      <c r="V96" s="317"/>
      <c r="W96" s="317"/>
      <c r="X96" s="317"/>
      <c r="Y96" s="317"/>
      <c r="Z96" s="317"/>
      <c r="AA96" s="317"/>
      <c r="AB96" s="317"/>
      <c r="AC96" s="317"/>
      <c r="AD96" s="317"/>
      <c r="AE96" s="317"/>
      <c r="AF96" s="317"/>
      <c r="AG96" s="317"/>
      <c r="AH96" s="317"/>
      <c r="AI96" s="317"/>
      <c r="AJ96" s="141"/>
    </row>
    <row r="97" spans="1:36" ht="12.75" customHeight="1">
      <c r="A97" s="149" t="s">
        <v>133</v>
      </c>
      <c r="B97" s="315" t="str">
        <f t="shared" si="6"/>
        <v>30 CM BASE X 10 CM ALTURA EXECUÇÃO DE SARJETA DE CONCRETO USINADO, MOLDADA IN LOCO EM TRECHO RETO</v>
      </c>
      <c r="C97" s="315"/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 t="str">
        <f>O86</f>
        <v>m</v>
      </c>
      <c r="P97" s="315"/>
      <c r="Q97" s="316">
        <f>90*2</f>
        <v>180</v>
      </c>
      <c r="R97" s="316"/>
      <c r="S97" s="316"/>
      <c r="T97" s="317" t="str">
        <f>T96</f>
        <v>comprim. * quantidade (90*2)</v>
      </c>
      <c r="U97" s="317"/>
      <c r="V97" s="317"/>
      <c r="W97" s="317"/>
      <c r="X97" s="317"/>
      <c r="Y97" s="317"/>
      <c r="Z97" s="317"/>
      <c r="AA97" s="317"/>
      <c r="AB97" s="317"/>
      <c r="AC97" s="317"/>
      <c r="AD97" s="317"/>
      <c r="AE97" s="317"/>
      <c r="AF97" s="317"/>
      <c r="AG97" s="317"/>
      <c r="AH97" s="317"/>
      <c r="AI97" s="317"/>
      <c r="AJ97" s="141"/>
    </row>
    <row r="98" spans="1:36" ht="12.75" customHeight="1">
      <c r="A98" s="325" t="str">
        <f>Planilha1!B13</f>
        <v>Rua Versiano de Almeida</v>
      </c>
      <c r="B98" s="325"/>
      <c r="C98" s="325"/>
      <c r="D98" s="325"/>
      <c r="E98" s="325"/>
      <c r="F98" s="325"/>
      <c r="G98" s="325"/>
      <c r="H98" s="325"/>
      <c r="I98" s="325"/>
      <c r="J98" s="325"/>
      <c r="K98" s="325"/>
      <c r="L98" s="325"/>
      <c r="M98" s="325"/>
      <c r="N98" s="325"/>
      <c r="O98" s="325"/>
      <c r="P98" s="325"/>
      <c r="Q98" s="325"/>
      <c r="R98" s="325"/>
      <c r="S98" s="325"/>
      <c r="T98" s="325"/>
      <c r="U98" s="325"/>
      <c r="V98" s="325"/>
      <c r="W98" s="325"/>
      <c r="X98" s="325"/>
      <c r="Y98" s="325"/>
      <c r="Z98" s="325"/>
      <c r="AA98" s="325"/>
      <c r="AB98" s="150"/>
      <c r="AC98" s="150"/>
      <c r="AD98" s="150"/>
      <c r="AE98" s="150"/>
      <c r="AF98" s="150"/>
      <c r="AG98" s="150"/>
      <c r="AH98" s="150"/>
      <c r="AI98" s="150"/>
      <c r="AJ98" s="141"/>
    </row>
    <row r="99" spans="1:36" ht="12.75" customHeight="1">
      <c r="A99" s="151">
        <v>2</v>
      </c>
      <c r="B99" s="332" t="str">
        <f>B88</f>
        <v>PAVIMENTAÇÃO</v>
      </c>
      <c r="C99" s="333"/>
      <c r="D99" s="333"/>
      <c r="E99" s="333"/>
      <c r="F99" s="333"/>
      <c r="G99" s="333"/>
      <c r="H99" s="333"/>
      <c r="I99" s="333"/>
      <c r="J99" s="333"/>
      <c r="K99" s="333"/>
      <c r="L99" s="333"/>
      <c r="M99" s="333"/>
      <c r="N99" s="333"/>
      <c r="O99" s="333"/>
      <c r="P99" s="333"/>
      <c r="Q99" s="333"/>
      <c r="R99" s="333"/>
      <c r="S99" s="333"/>
      <c r="T99" s="333"/>
      <c r="U99" s="333"/>
      <c r="V99" s="333"/>
      <c r="W99" s="333"/>
      <c r="X99" s="333"/>
      <c r="Y99" s="333"/>
      <c r="Z99" s="333"/>
      <c r="AA99" s="333"/>
      <c r="AB99" s="333"/>
      <c r="AC99" s="333"/>
      <c r="AD99" s="333"/>
      <c r="AE99" s="333"/>
      <c r="AF99" s="333"/>
      <c r="AG99" s="333"/>
      <c r="AH99" s="333"/>
      <c r="AI99" s="334"/>
      <c r="AJ99" s="141"/>
    </row>
    <row r="100" spans="1:36" ht="12.75" customHeight="1">
      <c r="A100" s="149" t="s">
        <v>52</v>
      </c>
      <c r="B100" s="315" t="str">
        <f>B89</f>
        <v>REGULARIZAÇÃO DO SUB-LEITO (PROCTOR NORMAL)</v>
      </c>
      <c r="C100" s="315"/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 t="str">
        <f>O89</f>
        <v>m²</v>
      </c>
      <c r="P100" s="315"/>
      <c r="Q100" s="316">
        <f>107*6.3</f>
        <v>674.1</v>
      </c>
      <c r="R100" s="316"/>
      <c r="S100" s="316"/>
      <c r="T100" s="317" t="s">
        <v>182</v>
      </c>
      <c r="U100" s="317"/>
      <c r="V100" s="317"/>
      <c r="W100" s="317"/>
      <c r="X100" s="317"/>
      <c r="Y100" s="317"/>
      <c r="Z100" s="317"/>
      <c r="AA100" s="317"/>
      <c r="AB100" s="317"/>
      <c r="AC100" s="317"/>
      <c r="AD100" s="317"/>
      <c r="AE100" s="317"/>
      <c r="AF100" s="317"/>
      <c r="AG100" s="317"/>
      <c r="AH100" s="317"/>
      <c r="AI100" s="317"/>
      <c r="AJ100" s="141"/>
    </row>
    <row r="101" spans="1:36" ht="36" customHeight="1">
      <c r="A101" s="149" t="s">
        <v>55</v>
      </c>
      <c r="B101" s="315" t="str">
        <f>B90</f>
        <v>EXECUÇÃODECALÇAMENTOEMBLOQUETE-E=8CM - FCK=35MPA,INCLUINDOFORNECIMENTOETRANSPORTEDETODOSOSMATERIAIS, COLCHÃO DE ASSENTAMENTO E = 6 CM</v>
      </c>
      <c r="C101" s="315"/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 t="str">
        <f>O90</f>
        <v>m²</v>
      </c>
      <c r="P101" s="315"/>
      <c r="Q101" s="316">
        <f>Q100</f>
        <v>674.1</v>
      </c>
      <c r="R101" s="316"/>
      <c r="S101" s="316"/>
      <c r="T101" s="317" t="str">
        <f>T100</f>
        <v>comprim. * larg. (107*6,30)</v>
      </c>
      <c r="U101" s="317"/>
      <c r="V101" s="317"/>
      <c r="W101" s="317"/>
      <c r="X101" s="317"/>
      <c r="Y101" s="317"/>
      <c r="Z101" s="317"/>
      <c r="AA101" s="317"/>
      <c r="AB101" s="317"/>
      <c r="AC101" s="317"/>
      <c r="AD101" s="317"/>
      <c r="AE101" s="317"/>
      <c r="AF101" s="317"/>
      <c r="AG101" s="317"/>
      <c r="AH101" s="317"/>
      <c r="AI101" s="317"/>
      <c r="AJ101" s="141"/>
    </row>
    <row r="102" spans="1:36" ht="12.75" customHeight="1">
      <c r="A102" s="152" t="s">
        <v>55</v>
      </c>
      <c r="B102" s="329" t="str">
        <f>B91</f>
        <v>CALÇADAS</v>
      </c>
      <c r="C102" s="330"/>
      <c r="D102" s="330"/>
      <c r="E102" s="330"/>
      <c r="F102" s="330"/>
      <c r="G102" s="330"/>
      <c r="H102" s="330"/>
      <c r="I102" s="330"/>
      <c r="J102" s="330"/>
      <c r="K102" s="330"/>
      <c r="L102" s="330"/>
      <c r="M102" s="330"/>
      <c r="N102" s="330"/>
      <c r="O102" s="330"/>
      <c r="P102" s="330"/>
      <c r="Q102" s="330"/>
      <c r="R102" s="330"/>
      <c r="S102" s="330"/>
      <c r="T102" s="330"/>
      <c r="U102" s="330"/>
      <c r="V102" s="330"/>
      <c r="W102" s="330"/>
      <c r="X102" s="330"/>
      <c r="Y102" s="330"/>
      <c r="Z102" s="330"/>
      <c r="AA102" s="330"/>
      <c r="AB102" s="330"/>
      <c r="AC102" s="330"/>
      <c r="AD102" s="330"/>
      <c r="AE102" s="330"/>
      <c r="AF102" s="330"/>
      <c r="AG102" s="330"/>
      <c r="AH102" s="330"/>
      <c r="AI102" s="331"/>
      <c r="AJ102" s="141"/>
    </row>
    <row r="103" spans="1:36" ht="25.5" customHeight="1">
      <c r="A103" s="149" t="s">
        <v>127</v>
      </c>
      <c r="B103" s="315" t="str">
        <f t="shared" ref="B103:B108" si="7">B92</f>
        <v>EXECUÇÃO DE PASSEIO (CALÇADA) COM CONCRETO MOLDADO IN LOCO FEITO EM OBRA, ACABAMENTO CONVENCIONAL, NÃO ARMADO</v>
      </c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 t="str">
        <f>O92</f>
        <v>m³</v>
      </c>
      <c r="P103" s="315"/>
      <c r="Q103" s="316">
        <f>107*2*1.5*0.07</f>
        <v>22.470000000000002</v>
      </c>
      <c r="R103" s="316"/>
      <c r="S103" s="316"/>
      <c r="T103" s="317" t="s">
        <v>183</v>
      </c>
      <c r="U103" s="317"/>
      <c r="V103" s="317"/>
      <c r="W103" s="317"/>
      <c r="X103" s="317"/>
      <c r="Y103" s="317"/>
      <c r="Z103" s="317"/>
      <c r="AA103" s="317"/>
      <c r="AB103" s="317"/>
      <c r="AC103" s="317"/>
      <c r="AD103" s="317"/>
      <c r="AE103" s="317"/>
      <c r="AF103" s="317"/>
      <c r="AG103" s="317"/>
      <c r="AH103" s="317"/>
      <c r="AI103" s="317"/>
      <c r="AJ103" s="141"/>
    </row>
    <row r="104" spans="1:36" ht="12.75" customHeight="1">
      <c r="A104" s="149" t="s">
        <v>129</v>
      </c>
      <c r="B104" s="315" t="str">
        <f t="shared" si="7"/>
        <v>LADRILHO HIDRAULICO AMARELO 20X20 (DIRECIONAL)</v>
      </c>
      <c r="C104" s="315"/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 t="str">
        <f>O93</f>
        <v>m</v>
      </c>
      <c r="P104" s="315"/>
      <c r="Q104" s="316">
        <f>(214-12)*0.2</f>
        <v>40.400000000000006</v>
      </c>
      <c r="R104" s="316"/>
      <c r="S104" s="316"/>
      <c r="T104" s="317" t="s">
        <v>216</v>
      </c>
      <c r="U104" s="317"/>
      <c r="V104" s="317"/>
      <c r="W104" s="317"/>
      <c r="X104" s="317"/>
      <c r="Y104" s="317"/>
      <c r="Z104" s="317"/>
      <c r="AA104" s="317"/>
      <c r="AB104" s="317"/>
      <c r="AC104" s="317"/>
      <c r="AD104" s="317"/>
      <c r="AE104" s="317"/>
      <c r="AF104" s="317"/>
      <c r="AG104" s="317"/>
      <c r="AH104" s="317"/>
      <c r="AI104" s="317"/>
      <c r="AJ104" s="141"/>
    </row>
    <row r="105" spans="1:36" ht="12.75" customHeight="1">
      <c r="A105" s="149" t="s">
        <v>130</v>
      </c>
      <c r="B105" s="315" t="str">
        <f t="shared" si="7"/>
        <v>LADRILHO HIDRAULICO VERMELHO 20X20 (ALERTA)</v>
      </c>
      <c r="C105" s="315"/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 t="str">
        <f>O94</f>
        <v>m</v>
      </c>
      <c r="P105" s="315"/>
      <c r="Q105" s="316">
        <f>12.8*0.2</f>
        <v>2.5600000000000005</v>
      </c>
      <c r="R105" s="316"/>
      <c r="S105" s="316"/>
      <c r="T105" s="317" t="s">
        <v>218</v>
      </c>
      <c r="U105" s="317"/>
      <c r="V105" s="317"/>
      <c r="W105" s="317"/>
      <c r="X105" s="317"/>
      <c r="Y105" s="317"/>
      <c r="Z105" s="317"/>
      <c r="AA105" s="317"/>
      <c r="AB105" s="317"/>
      <c r="AC105" s="317"/>
      <c r="AD105" s="317"/>
      <c r="AE105" s="317"/>
      <c r="AF105" s="317"/>
      <c r="AG105" s="317"/>
      <c r="AH105" s="317"/>
      <c r="AI105" s="317"/>
      <c r="AJ105" s="141"/>
    </row>
    <row r="106" spans="1:36" ht="12.75" customHeight="1">
      <c r="A106" s="152" t="s">
        <v>131</v>
      </c>
      <c r="B106" s="326" t="str">
        <f t="shared" si="7"/>
        <v>MEIO FIO E SARJETA</v>
      </c>
      <c r="C106" s="327"/>
      <c r="D106" s="327"/>
      <c r="E106" s="327"/>
      <c r="F106" s="327"/>
      <c r="G106" s="327"/>
      <c r="H106" s="327"/>
      <c r="I106" s="327"/>
      <c r="J106" s="327"/>
      <c r="K106" s="327"/>
      <c r="L106" s="327"/>
      <c r="M106" s="327"/>
      <c r="N106" s="327"/>
      <c r="O106" s="327"/>
      <c r="P106" s="327"/>
      <c r="Q106" s="327"/>
      <c r="R106" s="327"/>
      <c r="S106" s="327"/>
      <c r="T106" s="327"/>
      <c r="U106" s="327"/>
      <c r="V106" s="327"/>
      <c r="W106" s="327"/>
      <c r="X106" s="327"/>
      <c r="Y106" s="327"/>
      <c r="Z106" s="327"/>
      <c r="AA106" s="327"/>
      <c r="AB106" s="327"/>
      <c r="AC106" s="327"/>
      <c r="AD106" s="327"/>
      <c r="AE106" s="327"/>
      <c r="AF106" s="327"/>
      <c r="AG106" s="327"/>
      <c r="AH106" s="327"/>
      <c r="AI106" s="328"/>
      <c r="AJ106" s="141"/>
    </row>
    <row r="107" spans="1:36" ht="34.5" customHeight="1">
      <c r="A107" s="149" t="s">
        <v>132</v>
      </c>
      <c r="B107" s="315" t="str">
        <f t="shared" si="7"/>
        <v>ASSENTAMENTO DE GUIA (MEIO-FIO) EM TRECHO RETO, CONFECCIONADA EM CONCRETOPRÉ-FABRICADO, DIMENSÕES 100X15X13X30 CM (COMPRIMENTO X BASE INFERIOR X BASE SUPERIOR X ALTURA), PARA VIAS URBANAS (USO VIÁRIO)</v>
      </c>
      <c r="C107" s="315"/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 t="str">
        <f>O96</f>
        <v>m</v>
      </c>
      <c r="P107" s="315"/>
      <c r="Q107" s="316">
        <f>107*2</f>
        <v>214</v>
      </c>
      <c r="R107" s="316"/>
      <c r="S107" s="316"/>
      <c r="T107" s="317" t="s">
        <v>184</v>
      </c>
      <c r="U107" s="317"/>
      <c r="V107" s="317"/>
      <c r="W107" s="317"/>
      <c r="X107" s="317"/>
      <c r="Y107" s="317"/>
      <c r="Z107" s="317"/>
      <c r="AA107" s="317"/>
      <c r="AB107" s="317"/>
      <c r="AC107" s="317"/>
      <c r="AD107" s="317"/>
      <c r="AE107" s="317"/>
      <c r="AF107" s="317"/>
      <c r="AG107" s="317"/>
      <c r="AH107" s="317"/>
      <c r="AI107" s="317"/>
      <c r="AJ107" s="141"/>
    </row>
    <row r="108" spans="1:36" ht="12.75" customHeight="1">
      <c r="A108" s="149" t="s">
        <v>133</v>
      </c>
      <c r="B108" s="315" t="str">
        <f t="shared" si="7"/>
        <v>30 CM BASE X 10 CM ALTURA EXECUÇÃO DE SARJETA DE CONCRETO USINADO, MOLDADA IN LOCO EM TRECHO RETO</v>
      </c>
      <c r="C108" s="315"/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 t="str">
        <f>O97</f>
        <v>m</v>
      </c>
      <c r="P108" s="315"/>
      <c r="Q108" s="316">
        <f>107*2</f>
        <v>214</v>
      </c>
      <c r="R108" s="316"/>
      <c r="S108" s="316"/>
      <c r="T108" s="317" t="str">
        <f>T107</f>
        <v>comprim. * qunat. (107*2)</v>
      </c>
      <c r="U108" s="317"/>
      <c r="V108" s="317"/>
      <c r="W108" s="317"/>
      <c r="X108" s="317"/>
      <c r="Y108" s="317"/>
      <c r="Z108" s="317"/>
      <c r="AA108" s="317"/>
      <c r="AB108" s="317"/>
      <c r="AC108" s="317"/>
      <c r="AD108" s="317"/>
      <c r="AE108" s="317"/>
      <c r="AF108" s="317"/>
      <c r="AG108" s="317"/>
      <c r="AH108" s="317"/>
      <c r="AI108" s="317"/>
      <c r="AJ108" s="141"/>
    </row>
    <row r="109" spans="1:36" ht="12.75" customHeight="1">
      <c r="A109" s="325" t="str">
        <f>Planilha1!B14</f>
        <v>Rua Santo Almeida</v>
      </c>
      <c r="B109" s="325"/>
      <c r="C109" s="325"/>
      <c r="D109" s="325"/>
      <c r="E109" s="325"/>
      <c r="F109" s="325"/>
      <c r="G109" s="325"/>
      <c r="H109" s="325"/>
      <c r="I109" s="325"/>
      <c r="J109" s="325"/>
      <c r="K109" s="325"/>
      <c r="L109" s="325"/>
      <c r="M109" s="325"/>
      <c r="N109" s="325"/>
      <c r="O109" s="325"/>
      <c r="P109" s="325"/>
      <c r="Q109" s="325"/>
      <c r="R109" s="325"/>
      <c r="S109" s="325"/>
      <c r="T109" s="325"/>
      <c r="U109" s="325"/>
      <c r="V109" s="325"/>
      <c r="W109" s="325"/>
      <c r="X109" s="325"/>
      <c r="Y109" s="325"/>
      <c r="Z109" s="325"/>
      <c r="AA109" s="325"/>
      <c r="AB109" s="150"/>
      <c r="AC109" s="150"/>
      <c r="AD109" s="150"/>
      <c r="AE109" s="150"/>
      <c r="AF109" s="150"/>
      <c r="AG109" s="150"/>
      <c r="AH109" s="150"/>
      <c r="AI109" s="150"/>
      <c r="AJ109" s="141"/>
    </row>
    <row r="110" spans="1:36" ht="12.75" customHeight="1">
      <c r="A110" s="151">
        <v>2</v>
      </c>
      <c r="B110" s="332" t="str">
        <f>B99</f>
        <v>PAVIMENTAÇÃO</v>
      </c>
      <c r="C110" s="333"/>
      <c r="D110" s="333"/>
      <c r="E110" s="333"/>
      <c r="F110" s="333"/>
      <c r="G110" s="333"/>
      <c r="H110" s="333"/>
      <c r="I110" s="333"/>
      <c r="J110" s="333"/>
      <c r="K110" s="333"/>
      <c r="L110" s="333"/>
      <c r="M110" s="333"/>
      <c r="N110" s="333"/>
      <c r="O110" s="333"/>
      <c r="P110" s="333"/>
      <c r="Q110" s="333"/>
      <c r="R110" s="333"/>
      <c r="S110" s="333"/>
      <c r="T110" s="333"/>
      <c r="U110" s="333"/>
      <c r="V110" s="333"/>
      <c r="W110" s="333"/>
      <c r="X110" s="333"/>
      <c r="Y110" s="333"/>
      <c r="Z110" s="333"/>
      <c r="AA110" s="333"/>
      <c r="AB110" s="333"/>
      <c r="AC110" s="333"/>
      <c r="AD110" s="333"/>
      <c r="AE110" s="333"/>
      <c r="AF110" s="333"/>
      <c r="AG110" s="333"/>
      <c r="AH110" s="333"/>
      <c r="AI110" s="334"/>
      <c r="AJ110" s="141"/>
    </row>
    <row r="111" spans="1:36" ht="12.75" customHeight="1">
      <c r="A111" s="149" t="s">
        <v>52</v>
      </c>
      <c r="B111" s="315" t="str">
        <f>B100</f>
        <v>REGULARIZAÇÃO DO SUB-LEITO (PROCTOR NORMAL)</v>
      </c>
      <c r="C111" s="315"/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 t="str">
        <f>O100</f>
        <v>m²</v>
      </c>
      <c r="P111" s="315"/>
      <c r="Q111" s="316">
        <f>93*6</f>
        <v>558</v>
      </c>
      <c r="R111" s="316"/>
      <c r="S111" s="316"/>
      <c r="T111" s="317" t="s">
        <v>185</v>
      </c>
      <c r="U111" s="317"/>
      <c r="V111" s="317"/>
      <c r="W111" s="317"/>
      <c r="X111" s="317"/>
      <c r="Y111" s="317"/>
      <c r="Z111" s="317"/>
      <c r="AA111" s="317"/>
      <c r="AB111" s="317"/>
      <c r="AC111" s="317"/>
      <c r="AD111" s="317"/>
      <c r="AE111" s="317"/>
      <c r="AF111" s="317"/>
      <c r="AG111" s="317"/>
      <c r="AH111" s="317"/>
      <c r="AI111" s="317"/>
      <c r="AJ111" s="141"/>
    </row>
    <row r="112" spans="1:36" ht="37.5" customHeight="1">
      <c r="A112" s="149" t="s">
        <v>55</v>
      </c>
      <c r="B112" s="315" t="str">
        <f>B101</f>
        <v>EXECUÇÃODECALÇAMENTOEMBLOQUETE-E=8CM - FCK=35MPA,INCLUINDOFORNECIMENTOETRANSPORTEDETODOSOSMATERIAIS, COLCHÃO DE ASSENTAMENTO E = 6 CM</v>
      </c>
      <c r="C112" s="315"/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 t="str">
        <f>O101</f>
        <v>m²</v>
      </c>
      <c r="P112" s="315"/>
      <c r="Q112" s="316">
        <f>93*6</f>
        <v>558</v>
      </c>
      <c r="R112" s="316"/>
      <c r="S112" s="316"/>
      <c r="T112" s="317" t="str">
        <f>T111</f>
        <v>comprim. * larg. (93*6)</v>
      </c>
      <c r="U112" s="317"/>
      <c r="V112" s="317"/>
      <c r="W112" s="317"/>
      <c r="X112" s="317"/>
      <c r="Y112" s="317"/>
      <c r="Z112" s="317"/>
      <c r="AA112" s="317"/>
      <c r="AB112" s="317"/>
      <c r="AC112" s="317"/>
      <c r="AD112" s="317"/>
      <c r="AE112" s="317"/>
      <c r="AF112" s="317"/>
      <c r="AG112" s="317"/>
      <c r="AH112" s="317"/>
      <c r="AI112" s="317"/>
      <c r="AJ112" s="141"/>
    </row>
    <row r="113" spans="1:36" ht="12.75" customHeight="1">
      <c r="A113" s="152" t="s">
        <v>55</v>
      </c>
      <c r="B113" s="329" t="str">
        <f>B102</f>
        <v>CALÇADAS</v>
      </c>
      <c r="C113" s="330"/>
      <c r="D113" s="330"/>
      <c r="E113" s="330"/>
      <c r="F113" s="330"/>
      <c r="G113" s="330"/>
      <c r="H113" s="330"/>
      <c r="I113" s="330"/>
      <c r="J113" s="330"/>
      <c r="K113" s="330"/>
      <c r="L113" s="330"/>
      <c r="M113" s="330"/>
      <c r="N113" s="330"/>
      <c r="O113" s="330"/>
      <c r="P113" s="330"/>
      <c r="Q113" s="330"/>
      <c r="R113" s="330"/>
      <c r="S113" s="330"/>
      <c r="T113" s="330"/>
      <c r="U113" s="330"/>
      <c r="V113" s="330"/>
      <c r="W113" s="330"/>
      <c r="X113" s="330"/>
      <c r="Y113" s="330"/>
      <c r="Z113" s="330"/>
      <c r="AA113" s="330"/>
      <c r="AB113" s="330"/>
      <c r="AC113" s="330"/>
      <c r="AD113" s="330"/>
      <c r="AE113" s="330"/>
      <c r="AF113" s="330"/>
      <c r="AG113" s="330"/>
      <c r="AH113" s="330"/>
      <c r="AI113" s="331"/>
      <c r="AJ113" s="141"/>
    </row>
    <row r="114" spans="1:36" ht="25.5" customHeight="1">
      <c r="A114" s="149" t="s">
        <v>127</v>
      </c>
      <c r="B114" s="315" t="str">
        <f t="shared" ref="B114:B119" si="8">B103</f>
        <v>EXECUÇÃO DE PASSEIO (CALÇADA) COM CONCRETO MOLDADO IN LOCO FEITO EM OBRA, ACABAMENTO CONVENCIONAL, NÃO ARMADO</v>
      </c>
      <c r="C114" s="315"/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 t="str">
        <f>O103</f>
        <v>m³</v>
      </c>
      <c r="P114" s="315"/>
      <c r="Q114" s="316">
        <f>93*2*1.5*0.07</f>
        <v>19.53</v>
      </c>
      <c r="R114" s="316"/>
      <c r="S114" s="316"/>
      <c r="T114" s="317" t="s">
        <v>186</v>
      </c>
      <c r="U114" s="317"/>
      <c r="V114" s="317"/>
      <c r="W114" s="317"/>
      <c r="X114" s="317"/>
      <c r="Y114" s="317"/>
      <c r="Z114" s="317"/>
      <c r="AA114" s="317"/>
      <c r="AB114" s="317"/>
      <c r="AC114" s="317"/>
      <c r="AD114" s="317"/>
      <c r="AE114" s="317"/>
      <c r="AF114" s="317"/>
      <c r="AG114" s="317"/>
      <c r="AH114" s="317"/>
      <c r="AI114" s="317"/>
      <c r="AJ114" s="141"/>
    </row>
    <row r="115" spans="1:36" ht="12.75" customHeight="1">
      <c r="A115" s="149" t="s">
        <v>129</v>
      </c>
      <c r="B115" s="315" t="str">
        <f t="shared" si="8"/>
        <v>LADRILHO HIDRAULICO AMARELO 20X20 (DIRECIONAL)</v>
      </c>
      <c r="C115" s="315"/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 t="str">
        <f>O104</f>
        <v>m</v>
      </c>
      <c r="P115" s="315"/>
      <c r="Q115" s="316">
        <f>(186-12)*0.2</f>
        <v>34.800000000000004</v>
      </c>
      <c r="R115" s="316"/>
      <c r="S115" s="316"/>
      <c r="T115" s="317" t="s">
        <v>219</v>
      </c>
      <c r="U115" s="317"/>
      <c r="V115" s="317"/>
      <c r="W115" s="317"/>
      <c r="X115" s="317"/>
      <c r="Y115" s="317"/>
      <c r="Z115" s="317"/>
      <c r="AA115" s="317"/>
      <c r="AB115" s="317"/>
      <c r="AC115" s="317"/>
      <c r="AD115" s="317"/>
      <c r="AE115" s="317"/>
      <c r="AF115" s="317"/>
      <c r="AG115" s="317"/>
      <c r="AH115" s="317"/>
      <c r="AI115" s="317"/>
      <c r="AJ115" s="141"/>
    </row>
    <row r="116" spans="1:36" ht="12.75" customHeight="1">
      <c r="A116" s="149" t="s">
        <v>130</v>
      </c>
      <c r="B116" s="315" t="str">
        <f t="shared" si="8"/>
        <v>LADRILHO HIDRAULICO VERMELHO 20X20 (ALERTA)</v>
      </c>
      <c r="C116" s="315"/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 t="str">
        <f>O105</f>
        <v>m</v>
      </c>
      <c r="P116" s="315"/>
      <c r="Q116" s="316">
        <f>11.12*0.2</f>
        <v>2.2239999999999998</v>
      </c>
      <c r="R116" s="316"/>
      <c r="S116" s="316"/>
      <c r="T116" s="317" t="s">
        <v>222</v>
      </c>
      <c r="U116" s="317"/>
      <c r="V116" s="317"/>
      <c r="W116" s="317"/>
      <c r="X116" s="317"/>
      <c r="Y116" s="317"/>
      <c r="Z116" s="317"/>
      <c r="AA116" s="317"/>
      <c r="AB116" s="317"/>
      <c r="AC116" s="317"/>
      <c r="AD116" s="317"/>
      <c r="AE116" s="317"/>
      <c r="AF116" s="317"/>
      <c r="AG116" s="317"/>
      <c r="AH116" s="317"/>
      <c r="AI116" s="317"/>
      <c r="AJ116" s="141"/>
    </row>
    <row r="117" spans="1:36" ht="12.75" customHeight="1">
      <c r="A117" s="152" t="s">
        <v>131</v>
      </c>
      <c r="B117" s="326" t="str">
        <f t="shared" si="8"/>
        <v>MEIO FIO E SARJETA</v>
      </c>
      <c r="C117" s="327"/>
      <c r="D117" s="327"/>
      <c r="E117" s="327"/>
      <c r="F117" s="327"/>
      <c r="G117" s="327"/>
      <c r="H117" s="327"/>
      <c r="I117" s="327"/>
      <c r="J117" s="327"/>
      <c r="K117" s="327"/>
      <c r="L117" s="327"/>
      <c r="M117" s="327"/>
      <c r="N117" s="327"/>
      <c r="O117" s="327"/>
      <c r="P117" s="327"/>
      <c r="Q117" s="327"/>
      <c r="R117" s="327"/>
      <c r="S117" s="327"/>
      <c r="T117" s="327"/>
      <c r="U117" s="327"/>
      <c r="V117" s="327"/>
      <c r="W117" s="327"/>
      <c r="X117" s="327"/>
      <c r="Y117" s="327"/>
      <c r="Z117" s="327"/>
      <c r="AA117" s="327"/>
      <c r="AB117" s="327"/>
      <c r="AC117" s="327"/>
      <c r="AD117" s="327"/>
      <c r="AE117" s="327"/>
      <c r="AF117" s="327"/>
      <c r="AG117" s="327"/>
      <c r="AH117" s="327"/>
      <c r="AI117" s="328"/>
      <c r="AJ117" s="141"/>
    </row>
    <row r="118" spans="1:36" ht="38.25" customHeight="1">
      <c r="A118" s="149" t="s">
        <v>132</v>
      </c>
      <c r="B118" s="315" t="str">
        <f t="shared" si="8"/>
        <v>ASSENTAMENTO DE GUIA (MEIO-FIO) EM TRECHO RETO, CONFECCIONADA EM CONCRETOPRÉ-FABRICADO, DIMENSÕES 100X15X13X30 CM (COMPRIMENTO X BASE INFERIOR X BASE SUPERIOR X ALTURA), PARA VIAS URBANAS (USO VIÁRIO)</v>
      </c>
      <c r="C118" s="315"/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 t="str">
        <f>O107</f>
        <v>m</v>
      </c>
      <c r="P118" s="315"/>
      <c r="Q118" s="316">
        <f>93*2</f>
        <v>186</v>
      </c>
      <c r="R118" s="316"/>
      <c r="S118" s="316"/>
      <c r="T118" s="317" t="s">
        <v>187</v>
      </c>
      <c r="U118" s="317"/>
      <c r="V118" s="317"/>
      <c r="W118" s="317"/>
      <c r="X118" s="317"/>
      <c r="Y118" s="317"/>
      <c r="Z118" s="317"/>
      <c r="AA118" s="317"/>
      <c r="AB118" s="317"/>
      <c r="AC118" s="317"/>
      <c r="AD118" s="317"/>
      <c r="AE118" s="317"/>
      <c r="AF118" s="317"/>
      <c r="AG118" s="317"/>
      <c r="AH118" s="317"/>
      <c r="AI118" s="317"/>
      <c r="AJ118" s="141"/>
    </row>
    <row r="119" spans="1:36" ht="12.75" customHeight="1">
      <c r="A119" s="149" t="s">
        <v>133</v>
      </c>
      <c r="B119" s="315" t="str">
        <f t="shared" si="8"/>
        <v>30 CM BASE X 10 CM ALTURA EXECUÇÃO DE SARJETA DE CONCRETO USINADO, MOLDADA IN LOCO EM TRECHO RETO</v>
      </c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 t="str">
        <f>O108</f>
        <v>m</v>
      </c>
      <c r="P119" s="315"/>
      <c r="Q119" s="316">
        <f>Q118</f>
        <v>186</v>
      </c>
      <c r="R119" s="316"/>
      <c r="S119" s="316"/>
      <c r="T119" s="317" t="str">
        <f>T118</f>
        <v>comprim. * quant. (93*2)</v>
      </c>
      <c r="U119" s="317"/>
      <c r="V119" s="317"/>
      <c r="W119" s="317"/>
      <c r="X119" s="317"/>
      <c r="Y119" s="317"/>
      <c r="Z119" s="317"/>
      <c r="AA119" s="317"/>
      <c r="AB119" s="317"/>
      <c r="AC119" s="317"/>
      <c r="AD119" s="317"/>
      <c r="AE119" s="317"/>
      <c r="AF119" s="317"/>
      <c r="AG119" s="317"/>
      <c r="AH119" s="317"/>
      <c r="AI119" s="317"/>
      <c r="AJ119" s="141"/>
    </row>
    <row r="120" spans="1:36" ht="12.75" customHeight="1">
      <c r="A120" s="325" t="str">
        <f>Planilha1!B15</f>
        <v>Rua Adão Rufino</v>
      </c>
      <c r="B120" s="325"/>
      <c r="C120" s="325"/>
      <c r="D120" s="325"/>
      <c r="E120" s="325"/>
      <c r="F120" s="325"/>
      <c r="G120" s="325"/>
      <c r="H120" s="325"/>
      <c r="I120" s="325"/>
      <c r="J120" s="325"/>
      <c r="K120" s="325"/>
      <c r="L120" s="325"/>
      <c r="M120" s="325"/>
      <c r="N120" s="325"/>
      <c r="O120" s="325"/>
      <c r="P120" s="325"/>
      <c r="Q120" s="325"/>
      <c r="R120" s="325"/>
      <c r="S120" s="325"/>
      <c r="T120" s="325"/>
      <c r="U120" s="325"/>
      <c r="V120" s="325"/>
      <c r="W120" s="325"/>
      <c r="X120" s="325"/>
      <c r="Y120" s="325"/>
      <c r="Z120" s="325"/>
      <c r="AA120" s="325"/>
      <c r="AB120" s="150"/>
      <c r="AC120" s="150"/>
      <c r="AD120" s="150"/>
      <c r="AE120" s="150"/>
      <c r="AF120" s="150"/>
      <c r="AG120" s="150"/>
      <c r="AH120" s="150"/>
      <c r="AI120" s="150"/>
      <c r="AJ120" s="141"/>
    </row>
    <row r="121" spans="1:36" ht="12.75" customHeight="1">
      <c r="A121" s="151">
        <v>2</v>
      </c>
      <c r="B121" s="332" t="str">
        <f t="shared" ref="B121:B130" si="9">B110</f>
        <v>PAVIMENTAÇÃO</v>
      </c>
      <c r="C121" s="333"/>
      <c r="D121" s="333"/>
      <c r="E121" s="333"/>
      <c r="F121" s="333"/>
      <c r="G121" s="333"/>
      <c r="H121" s="333"/>
      <c r="I121" s="333"/>
      <c r="J121" s="333"/>
      <c r="K121" s="333"/>
      <c r="L121" s="333"/>
      <c r="M121" s="333"/>
      <c r="N121" s="333"/>
      <c r="O121" s="333"/>
      <c r="P121" s="333"/>
      <c r="Q121" s="333"/>
      <c r="R121" s="333"/>
      <c r="S121" s="333"/>
      <c r="T121" s="333"/>
      <c r="U121" s="333"/>
      <c r="V121" s="333"/>
      <c r="W121" s="333"/>
      <c r="X121" s="333"/>
      <c r="Y121" s="333"/>
      <c r="Z121" s="333"/>
      <c r="AA121" s="333"/>
      <c r="AB121" s="333"/>
      <c r="AC121" s="333"/>
      <c r="AD121" s="333"/>
      <c r="AE121" s="333"/>
      <c r="AF121" s="333"/>
      <c r="AG121" s="333"/>
      <c r="AH121" s="333"/>
      <c r="AI121" s="334"/>
      <c r="AJ121" s="141"/>
    </row>
    <row r="122" spans="1:36" ht="12.75" customHeight="1">
      <c r="A122" s="149" t="s">
        <v>52</v>
      </c>
      <c r="B122" s="315" t="str">
        <f t="shared" si="9"/>
        <v>REGULARIZAÇÃO DO SUB-LEITO (PROCTOR NORMAL)</v>
      </c>
      <c r="C122" s="315"/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 t="str">
        <f>O111</f>
        <v>m²</v>
      </c>
      <c r="P122" s="315"/>
      <c r="Q122" s="316">
        <f>232*7.4</f>
        <v>1716.8000000000002</v>
      </c>
      <c r="R122" s="316"/>
      <c r="S122" s="316"/>
      <c r="T122" s="317" t="s">
        <v>188</v>
      </c>
      <c r="U122" s="317"/>
      <c r="V122" s="317"/>
      <c r="W122" s="317"/>
      <c r="X122" s="317"/>
      <c r="Y122" s="317"/>
      <c r="Z122" s="317"/>
      <c r="AA122" s="317"/>
      <c r="AB122" s="317"/>
      <c r="AC122" s="317"/>
      <c r="AD122" s="317"/>
      <c r="AE122" s="317"/>
      <c r="AF122" s="317"/>
      <c r="AG122" s="317"/>
      <c r="AH122" s="317"/>
      <c r="AI122" s="317"/>
      <c r="AJ122" s="141"/>
    </row>
    <row r="123" spans="1:36" ht="38.25" customHeight="1">
      <c r="A123" s="149" t="s">
        <v>55</v>
      </c>
      <c r="B123" s="315" t="str">
        <f t="shared" si="9"/>
        <v>EXECUÇÃODECALÇAMENTOEMBLOQUETE-E=8CM - FCK=35MPA,INCLUINDOFORNECIMENTOETRANSPORTEDETODOSOSMATERIAIS, COLCHÃO DE ASSENTAMENTO E = 6 CM</v>
      </c>
      <c r="C123" s="315"/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 t="str">
        <f>O112</f>
        <v>m²</v>
      </c>
      <c r="P123" s="315"/>
      <c r="Q123" s="316">
        <f>Q122</f>
        <v>1716.8000000000002</v>
      </c>
      <c r="R123" s="316"/>
      <c r="S123" s="316"/>
      <c r="T123" s="317" t="str">
        <f>T122</f>
        <v>comprim. *  larg. (232* 7,4)</v>
      </c>
      <c r="U123" s="317"/>
      <c r="V123" s="317"/>
      <c r="W123" s="317"/>
      <c r="X123" s="317"/>
      <c r="Y123" s="317"/>
      <c r="Z123" s="317"/>
      <c r="AA123" s="317"/>
      <c r="AB123" s="317"/>
      <c r="AC123" s="317"/>
      <c r="AD123" s="317"/>
      <c r="AE123" s="317"/>
      <c r="AF123" s="317"/>
      <c r="AG123" s="317"/>
      <c r="AH123" s="317"/>
      <c r="AI123" s="317"/>
      <c r="AJ123" s="141"/>
    </row>
    <row r="124" spans="1:36" ht="12.75" customHeight="1">
      <c r="A124" s="152" t="s">
        <v>55</v>
      </c>
      <c r="B124" s="329" t="str">
        <f t="shared" si="9"/>
        <v>CALÇADAS</v>
      </c>
      <c r="C124" s="330"/>
      <c r="D124" s="330"/>
      <c r="E124" s="330"/>
      <c r="F124" s="330"/>
      <c r="G124" s="330"/>
      <c r="H124" s="330"/>
      <c r="I124" s="330"/>
      <c r="J124" s="330"/>
      <c r="K124" s="330"/>
      <c r="L124" s="330"/>
      <c r="M124" s="330"/>
      <c r="N124" s="330"/>
      <c r="O124" s="330"/>
      <c r="P124" s="330"/>
      <c r="Q124" s="330"/>
      <c r="R124" s="330"/>
      <c r="S124" s="330"/>
      <c r="T124" s="330"/>
      <c r="U124" s="330"/>
      <c r="V124" s="330"/>
      <c r="W124" s="330"/>
      <c r="X124" s="330"/>
      <c r="Y124" s="330"/>
      <c r="Z124" s="330"/>
      <c r="AA124" s="330"/>
      <c r="AB124" s="330"/>
      <c r="AC124" s="330"/>
      <c r="AD124" s="330"/>
      <c r="AE124" s="330"/>
      <c r="AF124" s="330"/>
      <c r="AG124" s="330"/>
      <c r="AH124" s="330"/>
      <c r="AI124" s="331"/>
      <c r="AJ124" s="141"/>
    </row>
    <row r="125" spans="1:36" ht="27" customHeight="1">
      <c r="A125" s="149" t="s">
        <v>127</v>
      </c>
      <c r="B125" s="315" t="str">
        <f t="shared" si="9"/>
        <v>EXECUÇÃO DE PASSEIO (CALÇADA) COM CONCRETO MOLDADO IN LOCO FEITO EM OBRA, ACABAMENTO CONVENCIONAL, NÃO ARMADO</v>
      </c>
      <c r="C125" s="315"/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 t="str">
        <f>O114</f>
        <v>m³</v>
      </c>
      <c r="P125" s="315"/>
      <c r="Q125" s="316">
        <f>(232*2-4*6)*1.5*0.07</f>
        <v>46.2</v>
      </c>
      <c r="R125" s="316"/>
      <c r="S125" s="316"/>
      <c r="T125" s="317" t="s">
        <v>190</v>
      </c>
      <c r="U125" s="317"/>
      <c r="V125" s="317"/>
      <c r="W125" s="317"/>
      <c r="X125" s="317"/>
      <c r="Y125" s="317"/>
      <c r="Z125" s="317"/>
      <c r="AA125" s="317"/>
      <c r="AB125" s="317"/>
      <c r="AC125" s="317"/>
      <c r="AD125" s="317"/>
      <c r="AE125" s="317"/>
      <c r="AF125" s="317"/>
      <c r="AG125" s="317"/>
      <c r="AH125" s="317"/>
      <c r="AI125" s="317"/>
      <c r="AJ125" s="141"/>
    </row>
    <row r="126" spans="1:36" ht="12.75" customHeight="1">
      <c r="A126" s="149" t="s">
        <v>129</v>
      </c>
      <c r="B126" s="315" t="str">
        <f t="shared" si="9"/>
        <v>LADRILHO HIDRAULICO AMARELO 20X20 (DIRECIONAL)</v>
      </c>
      <c r="C126" s="315"/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 t="str">
        <f>O115</f>
        <v>m</v>
      </c>
      <c r="P126" s="315"/>
      <c r="Q126" s="316">
        <f>(464-28-12)*0.2</f>
        <v>84.800000000000011</v>
      </c>
      <c r="R126" s="316"/>
      <c r="S126" s="316"/>
      <c r="T126" s="317" t="s">
        <v>220</v>
      </c>
      <c r="U126" s="317"/>
      <c r="V126" s="317"/>
      <c r="W126" s="317"/>
      <c r="X126" s="317"/>
      <c r="Y126" s="317"/>
      <c r="Z126" s="317"/>
      <c r="AA126" s="317"/>
      <c r="AB126" s="317"/>
      <c r="AC126" s="317"/>
      <c r="AD126" s="317"/>
      <c r="AE126" s="317"/>
      <c r="AF126" s="317"/>
      <c r="AG126" s="317"/>
      <c r="AH126" s="317"/>
      <c r="AI126" s="317"/>
      <c r="AJ126" s="141"/>
    </row>
    <row r="127" spans="1:36" ht="12.75" customHeight="1">
      <c r="A127" s="149" t="s">
        <v>130</v>
      </c>
      <c r="B127" s="315" t="str">
        <f t="shared" si="9"/>
        <v>LADRILHO HIDRAULICO VERMELHO 20X20 (ALERTA)</v>
      </c>
      <c r="C127" s="315"/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 t="str">
        <f>O116</f>
        <v>m</v>
      </c>
      <c r="P127" s="315"/>
      <c r="Q127" s="316">
        <f>21.28*0.2</f>
        <v>4.2560000000000002</v>
      </c>
      <c r="R127" s="316"/>
      <c r="S127" s="316"/>
      <c r="T127" s="317" t="s">
        <v>223</v>
      </c>
      <c r="U127" s="317"/>
      <c r="V127" s="317"/>
      <c r="W127" s="317"/>
      <c r="X127" s="317"/>
      <c r="Y127" s="317"/>
      <c r="Z127" s="317"/>
      <c r="AA127" s="317"/>
      <c r="AB127" s="317"/>
      <c r="AC127" s="317"/>
      <c r="AD127" s="317"/>
      <c r="AE127" s="317"/>
      <c r="AF127" s="317"/>
      <c r="AG127" s="317"/>
      <c r="AH127" s="317"/>
      <c r="AI127" s="317"/>
      <c r="AJ127" s="141"/>
    </row>
    <row r="128" spans="1:36" ht="12.75" customHeight="1">
      <c r="A128" s="152" t="s">
        <v>131</v>
      </c>
      <c r="B128" s="326" t="str">
        <f t="shared" si="9"/>
        <v>MEIO FIO E SARJETA</v>
      </c>
      <c r="C128" s="327"/>
      <c r="D128" s="327"/>
      <c r="E128" s="327"/>
      <c r="F128" s="327"/>
      <c r="G128" s="327"/>
      <c r="H128" s="327"/>
      <c r="I128" s="327"/>
      <c r="J128" s="327"/>
      <c r="K128" s="327"/>
      <c r="L128" s="327"/>
      <c r="M128" s="327"/>
      <c r="N128" s="327"/>
      <c r="O128" s="327"/>
      <c r="P128" s="327"/>
      <c r="Q128" s="327"/>
      <c r="R128" s="327"/>
      <c r="S128" s="327"/>
      <c r="T128" s="327"/>
      <c r="U128" s="327"/>
      <c r="V128" s="327"/>
      <c r="W128" s="327"/>
      <c r="X128" s="327"/>
      <c r="Y128" s="327"/>
      <c r="Z128" s="327"/>
      <c r="AA128" s="327"/>
      <c r="AB128" s="327"/>
      <c r="AC128" s="327"/>
      <c r="AD128" s="327"/>
      <c r="AE128" s="327"/>
      <c r="AF128" s="327"/>
      <c r="AG128" s="327"/>
      <c r="AH128" s="327"/>
      <c r="AI128" s="328"/>
      <c r="AJ128" s="141"/>
    </row>
    <row r="129" spans="1:37" ht="39.75" customHeight="1">
      <c r="A129" s="149" t="s">
        <v>132</v>
      </c>
      <c r="B129" s="315" t="str">
        <f t="shared" si="9"/>
        <v>ASSENTAMENTO DE GUIA (MEIO-FIO) EM TRECHO RETO, CONFECCIONADA EM CONCRETOPRÉ-FABRICADO, DIMENSÕES 100X15X13X30 CM (COMPRIMENTO X BASE INFERIOR X BASE SUPERIOR X ALTURA), PARA VIAS URBANAS (USO VIÁRIO)</v>
      </c>
      <c r="C129" s="315"/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 t="str">
        <f>O118</f>
        <v>m</v>
      </c>
      <c r="P129" s="315"/>
      <c r="Q129" s="316">
        <f>232*2-4*7+13*6</f>
        <v>514</v>
      </c>
      <c r="R129" s="316"/>
      <c r="S129" s="316"/>
      <c r="T129" s="317" t="s">
        <v>196</v>
      </c>
      <c r="U129" s="317"/>
      <c r="V129" s="317"/>
      <c r="W129" s="317"/>
      <c r="X129" s="317"/>
      <c r="Y129" s="317"/>
      <c r="Z129" s="317"/>
      <c r="AA129" s="317"/>
      <c r="AB129" s="317"/>
      <c r="AC129" s="317"/>
      <c r="AD129" s="317"/>
      <c r="AE129" s="317"/>
      <c r="AF129" s="317"/>
      <c r="AG129" s="317"/>
      <c r="AH129" s="317"/>
      <c r="AI129" s="317"/>
      <c r="AJ129" s="141"/>
    </row>
    <row r="130" spans="1:37" ht="12.75" customHeight="1">
      <c r="A130" s="149" t="s">
        <v>133</v>
      </c>
      <c r="B130" s="315" t="str">
        <f t="shared" si="9"/>
        <v>30 CM BASE X 10 CM ALTURA EXECUÇÃO DE SARJETA DE CONCRETO USINADO, MOLDADA IN LOCO EM TRECHO RETO</v>
      </c>
      <c r="C130" s="315"/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 t="str">
        <f>O119</f>
        <v>m</v>
      </c>
      <c r="P130" s="315"/>
      <c r="Q130" s="316">
        <f>232*2-4*7</f>
        <v>436</v>
      </c>
      <c r="R130" s="316"/>
      <c r="S130" s="316"/>
      <c r="T130" s="317" t="s">
        <v>191</v>
      </c>
      <c r="U130" s="317"/>
      <c r="V130" s="317"/>
      <c r="W130" s="317"/>
      <c r="X130" s="317"/>
      <c r="Y130" s="317"/>
      <c r="Z130" s="317"/>
      <c r="AA130" s="317"/>
      <c r="AB130" s="317"/>
      <c r="AC130" s="317"/>
      <c r="AD130" s="317"/>
      <c r="AE130" s="317"/>
      <c r="AF130" s="317"/>
      <c r="AG130" s="317"/>
      <c r="AH130" s="317"/>
      <c r="AI130" s="317"/>
      <c r="AJ130" s="141"/>
    </row>
    <row r="131" spans="1:37" ht="12.75" customHeight="1">
      <c r="A131" s="325" t="str">
        <f>Planilha1!B16</f>
        <v>Rua Agostinho Marques</v>
      </c>
      <c r="B131" s="325"/>
      <c r="C131" s="325"/>
      <c r="D131" s="325"/>
      <c r="E131" s="325"/>
      <c r="F131" s="325"/>
      <c r="G131" s="325"/>
      <c r="H131" s="325"/>
      <c r="I131" s="325"/>
      <c r="J131" s="325"/>
      <c r="K131" s="325"/>
      <c r="L131" s="325"/>
      <c r="M131" s="325"/>
      <c r="N131" s="325"/>
      <c r="O131" s="325"/>
      <c r="P131" s="325"/>
      <c r="Q131" s="325"/>
      <c r="R131" s="325"/>
      <c r="S131" s="325"/>
      <c r="T131" s="325"/>
      <c r="U131" s="325"/>
      <c r="V131" s="325"/>
      <c r="W131" s="325"/>
      <c r="X131" s="325"/>
      <c r="Y131" s="325"/>
      <c r="Z131" s="325"/>
      <c r="AA131" s="325"/>
      <c r="AB131" s="150"/>
      <c r="AC131" s="150"/>
      <c r="AD131" s="150"/>
      <c r="AE131" s="150"/>
      <c r="AF131" s="150"/>
      <c r="AG131" s="150"/>
      <c r="AH131" s="150"/>
      <c r="AI131" s="150"/>
      <c r="AJ131" s="141"/>
    </row>
    <row r="132" spans="1:37" ht="12.75" customHeight="1">
      <c r="A132" s="151">
        <v>2</v>
      </c>
      <c r="B132" s="332" t="str">
        <f>B121</f>
        <v>PAVIMENTAÇÃO</v>
      </c>
      <c r="C132" s="333"/>
      <c r="D132" s="333"/>
      <c r="E132" s="333"/>
      <c r="F132" s="333"/>
      <c r="G132" s="333"/>
      <c r="H132" s="333"/>
      <c r="I132" s="333"/>
      <c r="J132" s="333"/>
      <c r="K132" s="333"/>
      <c r="L132" s="333"/>
      <c r="M132" s="333"/>
      <c r="N132" s="333"/>
      <c r="O132" s="333"/>
      <c r="P132" s="333"/>
      <c r="Q132" s="333"/>
      <c r="R132" s="333"/>
      <c r="S132" s="333"/>
      <c r="T132" s="333"/>
      <c r="U132" s="333"/>
      <c r="V132" s="333"/>
      <c r="W132" s="333"/>
      <c r="X132" s="333"/>
      <c r="Y132" s="333"/>
      <c r="Z132" s="333"/>
      <c r="AA132" s="333"/>
      <c r="AB132" s="333"/>
      <c r="AC132" s="333"/>
      <c r="AD132" s="333"/>
      <c r="AE132" s="333"/>
      <c r="AF132" s="333"/>
      <c r="AG132" s="333"/>
      <c r="AH132" s="333"/>
      <c r="AI132" s="334"/>
      <c r="AJ132" s="141"/>
    </row>
    <row r="133" spans="1:37" ht="15.75" customHeight="1">
      <c r="A133" s="149" t="s">
        <v>52</v>
      </c>
      <c r="B133" s="315" t="str">
        <f>B122</f>
        <v>REGULARIZAÇÃO DO SUB-LEITO (PROCTOR NORMAL)</v>
      </c>
      <c r="C133" s="315"/>
      <c r="D133" s="315"/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 t="str">
        <f>O122</f>
        <v>m²</v>
      </c>
      <c r="P133" s="315"/>
      <c r="Q133" s="316">
        <f>119*6</f>
        <v>714</v>
      </c>
      <c r="R133" s="316"/>
      <c r="S133" s="316"/>
      <c r="T133" s="317" t="s">
        <v>192</v>
      </c>
      <c r="U133" s="317"/>
      <c r="V133" s="317"/>
      <c r="W133" s="317"/>
      <c r="X133" s="317"/>
      <c r="Y133" s="317"/>
      <c r="Z133" s="317"/>
      <c r="AA133" s="317"/>
      <c r="AB133" s="317"/>
      <c r="AC133" s="317"/>
      <c r="AD133" s="317"/>
      <c r="AE133" s="317"/>
      <c r="AF133" s="317"/>
      <c r="AG133" s="317"/>
      <c r="AH133" s="317"/>
      <c r="AI133" s="317"/>
      <c r="AJ133" s="141"/>
    </row>
    <row r="134" spans="1:37" ht="39" customHeight="1">
      <c r="A134" s="149" t="s">
        <v>55</v>
      </c>
      <c r="B134" s="315" t="str">
        <f>B123</f>
        <v>EXECUÇÃODECALÇAMENTOEMBLOQUETE-E=8CM - FCK=35MPA,INCLUINDOFORNECIMENTOETRANSPORTEDETODOSOSMATERIAIS, COLCHÃO DE ASSENTAMENTO E = 6 CM</v>
      </c>
      <c r="C134" s="315"/>
      <c r="D134" s="315"/>
      <c r="E134" s="315"/>
      <c r="F134" s="315"/>
      <c r="G134" s="315"/>
      <c r="H134" s="315"/>
      <c r="I134" s="315"/>
      <c r="J134" s="315"/>
      <c r="K134" s="315"/>
      <c r="L134" s="315"/>
      <c r="M134" s="315"/>
      <c r="N134" s="315"/>
      <c r="O134" s="315" t="str">
        <f>O123</f>
        <v>m²</v>
      </c>
      <c r="P134" s="315"/>
      <c r="Q134" s="316">
        <f>119*6</f>
        <v>714</v>
      </c>
      <c r="R134" s="316"/>
      <c r="S134" s="316"/>
      <c r="T134" s="317" t="str">
        <f>T133</f>
        <v>comprim. * larg ( 119*6)</v>
      </c>
      <c r="U134" s="317"/>
      <c r="V134" s="317"/>
      <c r="W134" s="317"/>
      <c r="X134" s="317"/>
      <c r="Y134" s="317"/>
      <c r="Z134" s="317"/>
      <c r="AA134" s="317"/>
      <c r="AB134" s="317"/>
      <c r="AC134" s="317"/>
      <c r="AD134" s="317"/>
      <c r="AE134" s="317"/>
      <c r="AF134" s="317"/>
      <c r="AG134" s="317"/>
      <c r="AH134" s="317"/>
      <c r="AI134" s="317"/>
      <c r="AJ134" s="141"/>
    </row>
    <row r="135" spans="1:37" ht="12.75" customHeight="1">
      <c r="A135" s="152" t="s">
        <v>55</v>
      </c>
      <c r="B135" s="329" t="str">
        <f>B124</f>
        <v>CALÇADAS</v>
      </c>
      <c r="C135" s="330"/>
      <c r="D135" s="330"/>
      <c r="E135" s="330"/>
      <c r="F135" s="330"/>
      <c r="G135" s="330"/>
      <c r="H135" s="330"/>
      <c r="I135" s="330"/>
      <c r="J135" s="330"/>
      <c r="K135" s="330"/>
      <c r="L135" s="330"/>
      <c r="M135" s="330"/>
      <c r="N135" s="330"/>
      <c r="O135" s="330"/>
      <c r="P135" s="330"/>
      <c r="Q135" s="330"/>
      <c r="R135" s="330"/>
      <c r="S135" s="330"/>
      <c r="T135" s="330"/>
      <c r="U135" s="330"/>
      <c r="V135" s="330"/>
      <c r="W135" s="330"/>
      <c r="X135" s="330"/>
      <c r="Y135" s="330"/>
      <c r="Z135" s="330"/>
      <c r="AA135" s="330"/>
      <c r="AB135" s="330"/>
      <c r="AC135" s="330"/>
      <c r="AD135" s="330"/>
      <c r="AE135" s="330"/>
      <c r="AF135" s="330"/>
      <c r="AG135" s="330"/>
      <c r="AH135" s="330"/>
      <c r="AI135" s="331"/>
      <c r="AJ135" s="141"/>
    </row>
    <row r="136" spans="1:37" ht="26.25" customHeight="1">
      <c r="A136" s="149" t="s">
        <v>127</v>
      </c>
      <c r="B136" s="315" t="str">
        <f t="shared" ref="B136:B141" si="10">B125</f>
        <v>EXECUÇÃO DE PASSEIO (CALÇADA) COM CONCRETO MOLDADO IN LOCO FEITO EM OBRA, ACABAMENTO CONVENCIONAL, NÃO ARMADO</v>
      </c>
      <c r="C136" s="315"/>
      <c r="D136" s="315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 t="str">
        <f>O125</f>
        <v>m³</v>
      </c>
      <c r="P136" s="315"/>
      <c r="Q136" s="316">
        <f>97*1.5*0.07</f>
        <v>10.185</v>
      </c>
      <c r="R136" s="316"/>
      <c r="S136" s="316"/>
      <c r="T136" s="317" t="s">
        <v>193</v>
      </c>
      <c r="U136" s="317"/>
      <c r="V136" s="317"/>
      <c r="W136" s="317"/>
      <c r="X136" s="317"/>
      <c r="Y136" s="317"/>
      <c r="Z136" s="317"/>
      <c r="AA136" s="317"/>
      <c r="AB136" s="317"/>
      <c r="AC136" s="317"/>
      <c r="AD136" s="317"/>
      <c r="AE136" s="317"/>
      <c r="AF136" s="317"/>
      <c r="AG136" s="317"/>
      <c r="AH136" s="317"/>
      <c r="AI136" s="317"/>
      <c r="AJ136" s="141"/>
    </row>
    <row r="137" spans="1:37" ht="12.75" customHeight="1">
      <c r="A137" s="149" t="s">
        <v>129</v>
      </c>
      <c r="B137" s="315" t="str">
        <f t="shared" si="10"/>
        <v>LADRILHO HIDRAULICO AMARELO 20X20 (DIRECIONAL)</v>
      </c>
      <c r="C137" s="315"/>
      <c r="D137" s="315"/>
      <c r="E137" s="315"/>
      <c r="F137" s="315"/>
      <c r="G137" s="315"/>
      <c r="H137" s="315"/>
      <c r="I137" s="315"/>
      <c r="J137" s="315"/>
      <c r="K137" s="315"/>
      <c r="L137" s="315"/>
      <c r="M137" s="315"/>
      <c r="N137" s="315"/>
      <c r="O137" s="315" t="str">
        <f>O126</f>
        <v>m</v>
      </c>
      <c r="P137" s="315"/>
      <c r="Q137" s="316">
        <f>(194-12)*0.2</f>
        <v>36.4</v>
      </c>
      <c r="R137" s="316"/>
      <c r="S137" s="316"/>
      <c r="T137" s="317" t="s">
        <v>221</v>
      </c>
      <c r="U137" s="317"/>
      <c r="V137" s="317"/>
      <c r="W137" s="317"/>
      <c r="X137" s="317"/>
      <c r="Y137" s="317"/>
      <c r="Z137" s="317"/>
      <c r="AA137" s="317"/>
      <c r="AB137" s="317"/>
      <c r="AC137" s="317"/>
      <c r="AD137" s="317"/>
      <c r="AE137" s="317"/>
      <c r="AF137" s="317"/>
      <c r="AG137" s="317"/>
      <c r="AH137" s="317"/>
      <c r="AI137" s="317"/>
      <c r="AJ137" s="141"/>
      <c r="AK137" s="56"/>
    </row>
    <row r="138" spans="1:37" ht="12.75" customHeight="1">
      <c r="A138" s="149" t="s">
        <v>130</v>
      </c>
      <c r="B138" s="315" t="str">
        <f t="shared" si="10"/>
        <v>LADRILHO HIDRAULICO VERMELHO 20X20 (ALERTA)</v>
      </c>
      <c r="C138" s="315"/>
      <c r="D138" s="315"/>
      <c r="E138" s="315"/>
      <c r="F138" s="315"/>
      <c r="G138" s="315"/>
      <c r="H138" s="315"/>
      <c r="I138" s="315"/>
      <c r="J138" s="315"/>
      <c r="K138" s="315"/>
      <c r="L138" s="315"/>
      <c r="M138" s="315"/>
      <c r="N138" s="315"/>
      <c r="O138" s="315" t="str">
        <f>O127</f>
        <v>m</v>
      </c>
      <c r="P138" s="315"/>
      <c r="Q138" s="316">
        <f>12*0.2</f>
        <v>2.4000000000000004</v>
      </c>
      <c r="R138" s="316"/>
      <c r="S138" s="316"/>
      <c r="T138" s="317" t="s">
        <v>224</v>
      </c>
      <c r="U138" s="317"/>
      <c r="V138" s="317"/>
      <c r="W138" s="317"/>
      <c r="X138" s="317"/>
      <c r="Y138" s="317"/>
      <c r="Z138" s="317"/>
      <c r="AA138" s="317"/>
      <c r="AB138" s="317"/>
      <c r="AC138" s="317"/>
      <c r="AD138" s="317"/>
      <c r="AE138" s="317"/>
      <c r="AF138" s="317"/>
      <c r="AG138" s="317"/>
      <c r="AH138" s="317"/>
      <c r="AI138" s="317"/>
      <c r="AJ138" s="141"/>
      <c r="AK138" s="56"/>
    </row>
    <row r="139" spans="1:37" ht="12.75" customHeight="1">
      <c r="A139" s="152" t="s">
        <v>131</v>
      </c>
      <c r="B139" s="326" t="str">
        <f t="shared" si="10"/>
        <v>MEIO FIO E SARJETA</v>
      </c>
      <c r="C139" s="327"/>
      <c r="D139" s="327"/>
      <c r="E139" s="327"/>
      <c r="F139" s="327"/>
      <c r="G139" s="327"/>
      <c r="H139" s="327"/>
      <c r="I139" s="327"/>
      <c r="J139" s="327"/>
      <c r="K139" s="327"/>
      <c r="L139" s="327"/>
      <c r="M139" s="327"/>
      <c r="N139" s="327"/>
      <c r="O139" s="327"/>
      <c r="P139" s="327"/>
      <c r="Q139" s="327"/>
      <c r="R139" s="327"/>
      <c r="S139" s="327"/>
      <c r="T139" s="327"/>
      <c r="U139" s="327"/>
      <c r="V139" s="327"/>
      <c r="W139" s="327"/>
      <c r="X139" s="327"/>
      <c r="Y139" s="327"/>
      <c r="Z139" s="327"/>
      <c r="AA139" s="327"/>
      <c r="AB139" s="327"/>
      <c r="AC139" s="327"/>
      <c r="AD139" s="327"/>
      <c r="AE139" s="327"/>
      <c r="AF139" s="327"/>
      <c r="AG139" s="327"/>
      <c r="AH139" s="327"/>
      <c r="AI139" s="328"/>
      <c r="AJ139" s="141"/>
      <c r="AK139" s="56"/>
    </row>
    <row r="140" spans="1:37" ht="37.5" customHeight="1">
      <c r="A140" s="149" t="s">
        <v>132</v>
      </c>
      <c r="B140" s="315" t="str">
        <f t="shared" si="10"/>
        <v>ASSENTAMENTO DE GUIA (MEIO-FIO) EM TRECHO RETO, CONFECCIONADA EM CONCRETOPRÉ-FABRICADO, DIMENSÕES 100X15X13X30 CM (COMPRIMENTO X BASE INFERIOR X BASE SUPERIOR X ALTURA), PARA VIAS URBANAS (USO VIÁRIO)</v>
      </c>
      <c r="C140" s="315"/>
      <c r="D140" s="315"/>
      <c r="E140" s="315"/>
      <c r="F140" s="315"/>
      <c r="G140" s="315"/>
      <c r="H140" s="315"/>
      <c r="I140" s="315"/>
      <c r="J140" s="315"/>
      <c r="K140" s="315"/>
      <c r="L140" s="315"/>
      <c r="M140" s="315"/>
      <c r="N140" s="315"/>
      <c r="O140" s="315" t="str">
        <f>O129</f>
        <v>m</v>
      </c>
      <c r="P140" s="315"/>
      <c r="Q140" s="316">
        <f>97*2+6*2</f>
        <v>206</v>
      </c>
      <c r="R140" s="316"/>
      <c r="S140" s="316"/>
      <c r="T140" s="317" t="s">
        <v>197</v>
      </c>
      <c r="U140" s="317"/>
      <c r="V140" s="317"/>
      <c r="W140" s="317"/>
      <c r="X140" s="317"/>
      <c r="Y140" s="317"/>
      <c r="Z140" s="317"/>
      <c r="AA140" s="317"/>
      <c r="AB140" s="317"/>
      <c r="AC140" s="317"/>
      <c r="AD140" s="317"/>
      <c r="AE140" s="317"/>
      <c r="AF140" s="317"/>
      <c r="AG140" s="317"/>
      <c r="AH140" s="317"/>
      <c r="AI140" s="317"/>
      <c r="AJ140" s="141"/>
      <c r="AK140" s="56"/>
    </row>
    <row r="141" spans="1:37" ht="12.75" customHeight="1">
      <c r="A141" s="149" t="s">
        <v>133</v>
      </c>
      <c r="B141" s="315" t="str">
        <f t="shared" si="10"/>
        <v>30 CM BASE X 10 CM ALTURA EXECUÇÃO DE SARJETA DE CONCRETO USINADO, MOLDADA IN LOCO EM TRECHO RETO</v>
      </c>
      <c r="C141" s="315"/>
      <c r="D141" s="315"/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 t="str">
        <f>O130</f>
        <v>m</v>
      </c>
      <c r="P141" s="315"/>
      <c r="Q141" s="316">
        <f>97*2</f>
        <v>194</v>
      </c>
      <c r="R141" s="316"/>
      <c r="S141" s="316"/>
      <c r="T141" s="317" t="s">
        <v>198</v>
      </c>
      <c r="U141" s="317"/>
      <c r="V141" s="317"/>
      <c r="W141" s="317"/>
      <c r="X141" s="317"/>
      <c r="Y141" s="317"/>
      <c r="Z141" s="317"/>
      <c r="AA141" s="317"/>
      <c r="AB141" s="317"/>
      <c r="AC141" s="317"/>
      <c r="AD141" s="317"/>
      <c r="AE141" s="317"/>
      <c r="AF141" s="317"/>
      <c r="AG141" s="317"/>
      <c r="AH141" s="317"/>
      <c r="AI141" s="317"/>
      <c r="AJ141" s="141"/>
      <c r="AK141" s="56"/>
    </row>
    <row r="142" spans="1:37" ht="12.75" customHeight="1">
      <c r="A142" s="151">
        <v>3</v>
      </c>
      <c r="B142" s="332" t="str">
        <f>'Planilha Orçamentária BDMG'!B28:C28</f>
        <v>SINALIZAÇÃO</v>
      </c>
      <c r="C142" s="333"/>
      <c r="D142" s="333"/>
      <c r="E142" s="333"/>
      <c r="F142" s="333"/>
      <c r="G142" s="333"/>
      <c r="H142" s="333"/>
      <c r="I142" s="333"/>
      <c r="J142" s="333"/>
      <c r="K142" s="333"/>
      <c r="L142" s="333"/>
      <c r="M142" s="333"/>
      <c r="N142" s="333"/>
      <c r="O142" s="333"/>
      <c r="P142" s="333"/>
      <c r="Q142" s="333"/>
      <c r="R142" s="333"/>
      <c r="S142" s="333"/>
      <c r="T142" s="333"/>
      <c r="U142" s="333"/>
      <c r="V142" s="333"/>
      <c r="W142" s="333"/>
      <c r="X142" s="333"/>
      <c r="Y142" s="333"/>
      <c r="Z142" s="333"/>
      <c r="AA142" s="333"/>
      <c r="AB142" s="333"/>
      <c r="AC142" s="333"/>
      <c r="AD142" s="333"/>
      <c r="AE142" s="333"/>
      <c r="AF142" s="333"/>
      <c r="AG142" s="333"/>
      <c r="AH142" s="333"/>
      <c r="AI142" s="334"/>
      <c r="AJ142" s="141"/>
      <c r="AK142" s="56"/>
    </row>
    <row r="143" spans="1:37" ht="33.75" customHeight="1">
      <c r="A143" s="149" t="s">
        <v>59</v>
      </c>
      <c r="B143" s="315" t="str">
        <f>'Planilha Orçamentária BDMG'!C29</f>
        <v>SINALIZACAO HORIZONTAL COM TINTA RETRORREFLETIVA A BASE DE RESINA ACRILICA COM MICROESFERAS DE VIDRO</v>
      </c>
      <c r="C143" s="315"/>
      <c r="D143" s="315"/>
      <c r="E143" s="315"/>
      <c r="F143" s="315"/>
      <c r="G143" s="315"/>
      <c r="H143" s="315"/>
      <c r="I143" s="315"/>
      <c r="J143" s="315"/>
      <c r="K143" s="315"/>
      <c r="L143" s="315"/>
      <c r="M143" s="315"/>
      <c r="N143" s="315"/>
      <c r="O143" s="315" t="s">
        <v>54</v>
      </c>
      <c r="P143" s="315"/>
      <c r="Q143" s="316">
        <f>((85)+(124)+(125+110+30)+(100)+(76)+(80+66+50+67)+(97+77)+(93)+(78.5)+(41+62+69)+(86.75))*0.1*0.5+(36*0.4*4*6)</f>
        <v>421.46250000000003</v>
      </c>
      <c r="R143" s="316"/>
      <c r="S143" s="316"/>
      <c r="T143" s="317" t="s">
        <v>199</v>
      </c>
      <c r="U143" s="317"/>
      <c r="V143" s="317"/>
      <c r="W143" s="317"/>
      <c r="X143" s="317"/>
      <c r="Y143" s="317"/>
      <c r="Z143" s="317"/>
      <c r="AA143" s="317"/>
      <c r="AB143" s="317"/>
      <c r="AC143" s="317"/>
      <c r="AD143" s="317"/>
      <c r="AE143" s="317"/>
      <c r="AF143" s="317"/>
      <c r="AG143" s="317"/>
      <c r="AH143" s="317"/>
      <c r="AI143" s="317"/>
      <c r="AJ143" s="141"/>
      <c r="AK143" s="56"/>
    </row>
    <row r="144" spans="1:37" ht="18" customHeight="1">
      <c r="A144" s="149" t="s">
        <v>60</v>
      </c>
      <c r="B144" s="315" t="str">
        <f>'Planilha Orçamentária BDMG'!C30</f>
        <v>PLACA ESMALTADA PARA IDENTIFICAÇÃO NR DE RUA, DIMENSÕES 45X25CM</v>
      </c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 t="s">
        <v>1</v>
      </c>
      <c r="P144" s="315"/>
      <c r="Q144" s="316" t="s">
        <v>200</v>
      </c>
      <c r="R144" s="316"/>
      <c r="S144" s="316"/>
      <c r="T144" s="317" t="s">
        <v>200</v>
      </c>
      <c r="U144" s="317"/>
      <c r="V144" s="317"/>
      <c r="W144" s="317"/>
      <c r="X144" s="317"/>
      <c r="Y144" s="317"/>
      <c r="Z144" s="317"/>
      <c r="AA144" s="317"/>
      <c r="AB144" s="317"/>
      <c r="AC144" s="317"/>
      <c r="AD144" s="317"/>
      <c r="AE144" s="317"/>
      <c r="AF144" s="317"/>
      <c r="AG144" s="317"/>
      <c r="AH144" s="317"/>
      <c r="AI144" s="317"/>
      <c r="AJ144" s="141"/>
    </row>
    <row r="145" spans="1:36" ht="15" customHeight="1">
      <c r="A145" s="149" t="s">
        <v>100</v>
      </c>
      <c r="B145" s="315" t="str">
        <f>'Planilha Orçamentária BDMG'!C31</f>
        <v>Fornecimento e implantação de placa em aço - película I + III</v>
      </c>
      <c r="C145" s="315"/>
      <c r="D145" s="315"/>
      <c r="E145" s="315"/>
      <c r="F145" s="315"/>
      <c r="G145" s="315"/>
      <c r="H145" s="315"/>
      <c r="I145" s="315"/>
      <c r="J145" s="315"/>
      <c r="K145" s="315"/>
      <c r="L145" s="315"/>
      <c r="M145" s="315"/>
      <c r="N145" s="315"/>
      <c r="O145" s="315" t="s">
        <v>1</v>
      </c>
      <c r="P145" s="315"/>
      <c r="Q145" s="316">
        <v>11</v>
      </c>
      <c r="R145" s="316"/>
      <c r="S145" s="316"/>
      <c r="T145" s="317" t="s">
        <v>201</v>
      </c>
      <c r="U145" s="317"/>
      <c r="V145" s="317"/>
      <c r="W145" s="317"/>
      <c r="X145" s="317"/>
      <c r="Y145" s="317"/>
      <c r="Z145" s="317"/>
      <c r="AA145" s="317"/>
      <c r="AB145" s="317"/>
      <c r="AC145" s="317"/>
      <c r="AD145" s="317"/>
      <c r="AE145" s="317"/>
      <c r="AF145" s="317"/>
      <c r="AG145" s="317"/>
      <c r="AH145" s="317"/>
      <c r="AI145" s="317"/>
      <c r="AJ145" s="141"/>
    </row>
    <row r="146" spans="1:36" ht="24.75" customHeight="1">
      <c r="A146" s="160" t="s">
        <v>159</v>
      </c>
      <c r="B146" s="345" t="str">
        <f>'Planilha Orçamentária BDMG'!C32</f>
        <v>Fornecimento e implantação de suporte metálico galvanizado para placa de regulamentação - D = 0,60 m</v>
      </c>
      <c r="C146" s="345"/>
      <c r="D146" s="345"/>
      <c r="E146" s="345"/>
      <c r="F146" s="345"/>
      <c r="G146" s="345"/>
      <c r="H146" s="345"/>
      <c r="I146" s="345"/>
      <c r="J146" s="345"/>
      <c r="K146" s="345"/>
      <c r="L146" s="345"/>
      <c r="M146" s="345"/>
      <c r="N146" s="345"/>
      <c r="O146" s="346" t="s">
        <v>1</v>
      </c>
      <c r="P146" s="346"/>
      <c r="Q146" s="339">
        <v>11</v>
      </c>
      <c r="R146" s="340"/>
      <c r="S146" s="159"/>
      <c r="T146" s="347" t="s">
        <v>201</v>
      </c>
      <c r="U146" s="347"/>
      <c r="V146" s="347"/>
      <c r="W146" s="347"/>
      <c r="X146" s="347"/>
      <c r="Y146" s="347"/>
      <c r="Z146" s="347"/>
      <c r="AA146" s="347"/>
      <c r="AB146" s="348"/>
      <c r="AC146" s="348"/>
      <c r="AD146" s="348"/>
      <c r="AE146" s="348"/>
      <c r="AF146" s="348"/>
      <c r="AG146" s="348"/>
      <c r="AH146" s="348"/>
      <c r="AI146" s="348"/>
      <c r="AJ146" s="141"/>
    </row>
    <row r="147" spans="1:36">
      <c r="A147" s="141"/>
      <c r="B147" s="141"/>
      <c r="C147" s="141"/>
      <c r="D147" s="141"/>
      <c r="E147" s="141"/>
      <c r="F147" s="141"/>
      <c r="G147" s="141"/>
      <c r="H147" s="141"/>
      <c r="I147" s="141"/>
      <c r="J147" s="141"/>
      <c r="K147" s="141"/>
      <c r="L147" s="141"/>
      <c r="M147" s="141"/>
      <c r="N147" s="141"/>
      <c r="O147" s="141"/>
      <c r="P147" s="141"/>
      <c r="Q147" s="141"/>
      <c r="R147" s="141"/>
      <c r="S147" s="141"/>
      <c r="T147" s="141"/>
      <c r="U147" s="141"/>
      <c r="V147" s="141"/>
      <c r="W147" s="141"/>
      <c r="X147" s="141"/>
      <c r="Y147" s="141"/>
      <c r="Z147" s="141"/>
      <c r="AA147" s="141"/>
      <c r="AB147" s="155"/>
      <c r="AC147" s="145"/>
      <c r="AD147" s="145"/>
      <c r="AE147" s="145"/>
      <c r="AF147" s="145"/>
      <c r="AG147" s="145"/>
      <c r="AH147" s="145"/>
      <c r="AI147" s="146"/>
      <c r="AJ147" s="141"/>
    </row>
    <row r="148" spans="1:36">
      <c r="A148" s="141"/>
      <c r="B148" s="142"/>
      <c r="C148" s="141"/>
      <c r="D148" s="141"/>
      <c r="E148" s="141"/>
      <c r="F148" s="141"/>
      <c r="G148" s="141"/>
      <c r="H148" s="141"/>
      <c r="I148" s="141"/>
      <c r="J148" s="141"/>
      <c r="K148" s="141"/>
      <c r="L148" s="141"/>
      <c r="M148" s="141"/>
      <c r="N148" s="141"/>
      <c r="O148" s="141"/>
      <c r="P148" s="141"/>
      <c r="Q148" s="141"/>
      <c r="R148" s="141"/>
      <c r="S148" s="141"/>
      <c r="T148" s="141"/>
      <c r="U148" s="141"/>
      <c r="V148" s="141"/>
      <c r="W148" s="141"/>
      <c r="X148" s="141"/>
      <c r="Y148" s="141"/>
      <c r="Z148" s="141"/>
      <c r="AA148" s="141"/>
      <c r="AB148" s="155"/>
      <c r="AC148" s="145"/>
      <c r="AD148" s="145"/>
      <c r="AE148" s="145"/>
      <c r="AF148" s="145"/>
      <c r="AG148" s="145"/>
      <c r="AH148" s="145"/>
      <c r="AI148" s="146"/>
      <c r="AJ148" s="141"/>
    </row>
    <row r="149" spans="1:36" ht="12.75" customHeight="1">
      <c r="A149" s="141"/>
      <c r="B149" s="350" t="s">
        <v>226</v>
      </c>
      <c r="C149" s="350"/>
      <c r="D149" s="350"/>
      <c r="E149" s="350"/>
      <c r="F149" s="350"/>
      <c r="G149" s="350"/>
      <c r="H149" s="141"/>
      <c r="I149" s="141"/>
      <c r="J149" s="141"/>
      <c r="K149" s="141"/>
      <c r="L149" s="141"/>
      <c r="M149" s="141"/>
      <c r="N149" s="141"/>
      <c r="O149" s="141"/>
      <c r="P149" s="141"/>
      <c r="Q149" s="141"/>
      <c r="R149" s="141"/>
      <c r="S149" s="141"/>
      <c r="T149" s="349" t="s">
        <v>228</v>
      </c>
      <c r="U149" s="349"/>
      <c r="V149" s="349"/>
      <c r="W149" s="349"/>
      <c r="X149" s="349"/>
      <c r="Y149" s="349"/>
      <c r="Z149" s="141"/>
      <c r="AA149" s="141"/>
      <c r="AB149" s="155"/>
      <c r="AC149" s="145"/>
      <c r="AD149" s="145"/>
      <c r="AE149" s="145"/>
      <c r="AF149" s="145"/>
      <c r="AG149" s="145"/>
      <c r="AH149" s="145"/>
      <c r="AI149" s="146"/>
      <c r="AJ149" s="141"/>
    </row>
    <row r="150" spans="1:36" ht="12.75" customHeight="1">
      <c r="A150" s="141"/>
      <c r="B150" s="349" t="s">
        <v>90</v>
      </c>
      <c r="C150" s="349"/>
      <c r="D150" s="349"/>
      <c r="E150" s="349"/>
      <c r="F150" s="349"/>
      <c r="G150" s="349"/>
      <c r="H150" s="141"/>
      <c r="I150" s="141"/>
      <c r="J150" s="141"/>
      <c r="K150" s="141"/>
      <c r="L150" s="141"/>
      <c r="M150" s="141"/>
      <c r="N150" s="141"/>
      <c r="O150" s="141"/>
      <c r="P150" s="141"/>
      <c r="Q150" s="141"/>
      <c r="R150" s="141"/>
      <c r="S150" s="141"/>
      <c r="T150" s="349" t="s">
        <v>229</v>
      </c>
      <c r="U150" s="349"/>
      <c r="V150" s="349"/>
      <c r="W150" s="349"/>
      <c r="X150" s="349"/>
      <c r="Y150" s="349"/>
      <c r="Z150" s="141"/>
      <c r="AA150" s="141"/>
      <c r="AB150" s="155"/>
      <c r="AC150" s="145"/>
      <c r="AD150" s="145"/>
      <c r="AE150" s="145"/>
      <c r="AF150" s="145"/>
      <c r="AG150" s="145"/>
      <c r="AH150" s="145"/>
      <c r="AI150" s="146"/>
      <c r="AJ150" s="141"/>
    </row>
    <row r="151" spans="1:36" ht="12.75" customHeight="1">
      <c r="A151" s="141"/>
      <c r="B151" s="349" t="s">
        <v>227</v>
      </c>
      <c r="C151" s="349"/>
      <c r="D151" s="349"/>
      <c r="E151" s="349"/>
      <c r="F151" s="349"/>
      <c r="G151" s="349"/>
      <c r="H151" s="141"/>
      <c r="I151" s="141"/>
      <c r="J151" s="141"/>
      <c r="K151" s="141"/>
      <c r="L151" s="141"/>
      <c r="M151" s="141"/>
      <c r="N151" s="141"/>
      <c r="O151" s="141"/>
      <c r="P151" s="141"/>
      <c r="Q151" s="141"/>
      <c r="R151" s="141"/>
      <c r="S151" s="141"/>
      <c r="T151" s="349" t="s">
        <v>230</v>
      </c>
      <c r="U151" s="349"/>
      <c r="V151" s="349"/>
      <c r="W151" s="349"/>
      <c r="X151" s="349"/>
      <c r="Y151" s="349"/>
      <c r="Z151" s="141"/>
      <c r="AA151" s="141"/>
      <c r="AB151" s="156"/>
      <c r="AC151" s="157"/>
      <c r="AD151" s="157"/>
      <c r="AE151" s="157"/>
      <c r="AF151" s="157"/>
      <c r="AG151" s="157"/>
      <c r="AH151" s="157"/>
      <c r="AI151" s="158"/>
      <c r="AJ151" s="141"/>
    </row>
    <row r="152" spans="1:36">
      <c r="A152" s="141"/>
      <c r="B152" s="141"/>
      <c r="C152" s="141"/>
      <c r="D152" s="141"/>
      <c r="E152" s="141"/>
      <c r="F152" s="141"/>
      <c r="G152" s="141"/>
      <c r="H152" s="141"/>
      <c r="I152" s="141"/>
      <c r="J152" s="141"/>
      <c r="K152" s="141"/>
      <c r="L152" s="141"/>
      <c r="M152" s="141"/>
      <c r="N152" s="141"/>
      <c r="O152" s="141"/>
      <c r="P152" s="141"/>
      <c r="Q152" s="141"/>
      <c r="R152" s="141"/>
      <c r="S152" s="141"/>
      <c r="T152" s="141"/>
      <c r="U152" s="141"/>
      <c r="V152" s="141"/>
      <c r="W152" s="141"/>
      <c r="X152" s="141"/>
      <c r="Y152" s="141"/>
      <c r="Z152" s="141"/>
      <c r="AA152" s="141"/>
      <c r="AB152" s="141"/>
      <c r="AC152" s="141"/>
      <c r="AD152" s="141"/>
      <c r="AE152" s="141"/>
      <c r="AF152" s="141"/>
      <c r="AG152" s="141"/>
      <c r="AH152" s="141"/>
      <c r="AI152" s="141"/>
      <c r="AJ152" s="141"/>
    </row>
    <row r="153" spans="1:36">
      <c r="A153" s="141"/>
      <c r="B153" s="141"/>
      <c r="C153" s="141"/>
      <c r="D153" s="141"/>
      <c r="E153" s="141"/>
      <c r="F153" s="141"/>
      <c r="G153" s="141"/>
      <c r="H153" s="141"/>
      <c r="I153" s="141"/>
      <c r="J153" s="141"/>
      <c r="K153" s="141"/>
      <c r="L153" s="141"/>
      <c r="M153" s="141"/>
      <c r="N153" s="141"/>
      <c r="O153" s="141"/>
      <c r="P153" s="141"/>
      <c r="Q153" s="141"/>
      <c r="R153" s="141"/>
      <c r="S153" s="141"/>
      <c r="T153" s="141"/>
      <c r="U153" s="141"/>
      <c r="V153" s="141"/>
      <c r="W153" s="141"/>
      <c r="X153" s="141"/>
      <c r="Y153" s="141"/>
      <c r="Z153" s="141"/>
      <c r="AA153" s="141"/>
      <c r="AB153" s="141"/>
      <c r="AC153" s="141"/>
      <c r="AD153" s="141"/>
      <c r="AE153" s="141"/>
      <c r="AF153" s="141"/>
      <c r="AG153" s="141"/>
      <c r="AH153" s="141"/>
      <c r="AI153" s="141"/>
      <c r="AJ153" s="141"/>
    </row>
  </sheetData>
  <mergeCells count="434">
    <mergeCell ref="D1:AA3"/>
    <mergeCell ref="A1:C3"/>
    <mergeCell ref="B146:N146"/>
    <mergeCell ref="O146:P146"/>
    <mergeCell ref="T146:AI146"/>
    <mergeCell ref="B151:G151"/>
    <mergeCell ref="B150:G150"/>
    <mergeCell ref="B149:G149"/>
    <mergeCell ref="T149:Y149"/>
    <mergeCell ref="T150:Y150"/>
    <mergeCell ref="T151:Y151"/>
    <mergeCell ref="B11:AI11"/>
    <mergeCell ref="B22:AI22"/>
    <mergeCell ref="B33:AI33"/>
    <mergeCell ref="B25:AI25"/>
    <mergeCell ref="B14:AI14"/>
    <mergeCell ref="B18:AI18"/>
    <mergeCell ref="B29:AI29"/>
    <mergeCell ref="B36:AI36"/>
    <mergeCell ref="B44:AI44"/>
    <mergeCell ref="B143:N143"/>
    <mergeCell ref="O143:P143"/>
    <mergeCell ref="Q143:S143"/>
    <mergeCell ref="T143:AI143"/>
    <mergeCell ref="B139:AI139"/>
    <mergeCell ref="B144:N144"/>
    <mergeCell ref="O144:P144"/>
    <mergeCell ref="Q144:S144"/>
    <mergeCell ref="T144:AI144"/>
    <mergeCell ref="B145:N145"/>
    <mergeCell ref="O145:P145"/>
    <mergeCell ref="Q145:S145"/>
    <mergeCell ref="T145:AI145"/>
    <mergeCell ref="B140:N140"/>
    <mergeCell ref="O140:P140"/>
    <mergeCell ref="Q140:S140"/>
    <mergeCell ref="T140:AI140"/>
    <mergeCell ref="B141:N141"/>
    <mergeCell ref="O141:P141"/>
    <mergeCell ref="Q141:S141"/>
    <mergeCell ref="T141:AI141"/>
    <mergeCell ref="B142:AI142"/>
    <mergeCell ref="B135:AI135"/>
    <mergeCell ref="B137:N137"/>
    <mergeCell ref="O137:P137"/>
    <mergeCell ref="Q137:S137"/>
    <mergeCell ref="T137:AI137"/>
    <mergeCell ref="B138:N138"/>
    <mergeCell ref="O138:P138"/>
    <mergeCell ref="Q138:S138"/>
    <mergeCell ref="T138:AI138"/>
    <mergeCell ref="A131:AA131"/>
    <mergeCell ref="B133:N133"/>
    <mergeCell ref="O133:P133"/>
    <mergeCell ref="Q133:S133"/>
    <mergeCell ref="T133:AI133"/>
    <mergeCell ref="B128:AI128"/>
    <mergeCell ref="B132:AI132"/>
    <mergeCell ref="Q146:R146"/>
    <mergeCell ref="B129:N129"/>
    <mergeCell ref="O129:P129"/>
    <mergeCell ref="Q129:S129"/>
    <mergeCell ref="T129:AI129"/>
    <mergeCell ref="B130:N130"/>
    <mergeCell ref="O130:P130"/>
    <mergeCell ref="Q130:S130"/>
    <mergeCell ref="T130:AI130"/>
    <mergeCell ref="B134:N134"/>
    <mergeCell ref="O134:P134"/>
    <mergeCell ref="Q134:S134"/>
    <mergeCell ref="T134:AI134"/>
    <mergeCell ref="B136:N136"/>
    <mergeCell ref="O136:P136"/>
    <mergeCell ref="Q136:S136"/>
    <mergeCell ref="T136:AI136"/>
    <mergeCell ref="B126:N126"/>
    <mergeCell ref="O126:P126"/>
    <mergeCell ref="Q126:S126"/>
    <mergeCell ref="T126:AI126"/>
    <mergeCell ref="B127:N127"/>
    <mergeCell ref="O127:P127"/>
    <mergeCell ref="Q127:S127"/>
    <mergeCell ref="T127:AI127"/>
    <mergeCell ref="B123:N123"/>
    <mergeCell ref="O123:P123"/>
    <mergeCell ref="Q123:S123"/>
    <mergeCell ref="T123:AI123"/>
    <mergeCell ref="B125:N125"/>
    <mergeCell ref="O125:P125"/>
    <mergeCell ref="Q125:S125"/>
    <mergeCell ref="T125:AI125"/>
    <mergeCell ref="B124:AI124"/>
    <mergeCell ref="A120:AA120"/>
    <mergeCell ref="B122:N122"/>
    <mergeCell ref="O122:P122"/>
    <mergeCell ref="Q122:S122"/>
    <mergeCell ref="T122:AI122"/>
    <mergeCell ref="B121:AI121"/>
    <mergeCell ref="B117:AI117"/>
    <mergeCell ref="B118:N118"/>
    <mergeCell ref="T118:AI118"/>
    <mergeCell ref="B119:N119"/>
    <mergeCell ref="O119:P119"/>
    <mergeCell ref="Q119:S119"/>
    <mergeCell ref="T119:AI119"/>
    <mergeCell ref="O118:P118"/>
    <mergeCell ref="Q118:S118"/>
    <mergeCell ref="B115:N115"/>
    <mergeCell ref="O115:P115"/>
    <mergeCell ref="Q115:S115"/>
    <mergeCell ref="T115:AI115"/>
    <mergeCell ref="B116:N116"/>
    <mergeCell ref="O116:P116"/>
    <mergeCell ref="Q116:S116"/>
    <mergeCell ref="T116:AI116"/>
    <mergeCell ref="B112:N112"/>
    <mergeCell ref="O112:P112"/>
    <mergeCell ref="Q112:S112"/>
    <mergeCell ref="T112:AI112"/>
    <mergeCell ref="B114:N114"/>
    <mergeCell ref="O114:P114"/>
    <mergeCell ref="Q114:S114"/>
    <mergeCell ref="T114:AI114"/>
    <mergeCell ref="B113:AI113"/>
    <mergeCell ref="A109:AA109"/>
    <mergeCell ref="B111:N111"/>
    <mergeCell ref="O111:P111"/>
    <mergeCell ref="Q111:S111"/>
    <mergeCell ref="T111:AI111"/>
    <mergeCell ref="B110:AI110"/>
    <mergeCell ref="B106:AI106"/>
    <mergeCell ref="B107:N107"/>
    <mergeCell ref="O107:P107"/>
    <mergeCell ref="Q107:S107"/>
    <mergeCell ref="T107:AI107"/>
    <mergeCell ref="B108:N108"/>
    <mergeCell ref="O108:P108"/>
    <mergeCell ref="Q108:S108"/>
    <mergeCell ref="T108:AI108"/>
    <mergeCell ref="B104:N104"/>
    <mergeCell ref="O104:P104"/>
    <mergeCell ref="Q104:S104"/>
    <mergeCell ref="T104:AI104"/>
    <mergeCell ref="B105:N105"/>
    <mergeCell ref="O105:P105"/>
    <mergeCell ref="Q105:S105"/>
    <mergeCell ref="T105:AI105"/>
    <mergeCell ref="B101:N101"/>
    <mergeCell ref="O101:P101"/>
    <mergeCell ref="Q101:S101"/>
    <mergeCell ref="T101:AI101"/>
    <mergeCell ref="B103:N103"/>
    <mergeCell ref="O103:P103"/>
    <mergeCell ref="Q103:S103"/>
    <mergeCell ref="T103:AI103"/>
    <mergeCell ref="B102:AI102"/>
    <mergeCell ref="A98:AA98"/>
    <mergeCell ref="B100:N100"/>
    <mergeCell ref="O100:P100"/>
    <mergeCell ref="Q100:S100"/>
    <mergeCell ref="T100:AI100"/>
    <mergeCell ref="B99:AI99"/>
    <mergeCell ref="B96:N96"/>
    <mergeCell ref="O96:P96"/>
    <mergeCell ref="Q96:S96"/>
    <mergeCell ref="T96:AI96"/>
    <mergeCell ref="B97:N97"/>
    <mergeCell ref="O97:P97"/>
    <mergeCell ref="Q97:S97"/>
    <mergeCell ref="T97:AI97"/>
    <mergeCell ref="B93:N93"/>
    <mergeCell ref="O93:P93"/>
    <mergeCell ref="Q93:S93"/>
    <mergeCell ref="T93:AI93"/>
    <mergeCell ref="B94:N94"/>
    <mergeCell ref="O94:P94"/>
    <mergeCell ref="Q94:S94"/>
    <mergeCell ref="T94:AI94"/>
    <mergeCell ref="B95:N95"/>
    <mergeCell ref="O95:P95"/>
    <mergeCell ref="Q95:S95"/>
    <mergeCell ref="T95:AI95"/>
    <mergeCell ref="B90:N90"/>
    <mergeCell ref="O90:P90"/>
    <mergeCell ref="Q90:S90"/>
    <mergeCell ref="T90:AI90"/>
    <mergeCell ref="B91:N91"/>
    <mergeCell ref="O91:P91"/>
    <mergeCell ref="T91:AI91"/>
    <mergeCell ref="B92:N92"/>
    <mergeCell ref="O92:P92"/>
    <mergeCell ref="Q92:S92"/>
    <mergeCell ref="T92:AI92"/>
    <mergeCell ref="A87:AA87"/>
    <mergeCell ref="B89:N89"/>
    <mergeCell ref="O89:P89"/>
    <mergeCell ref="Q89:S89"/>
    <mergeCell ref="T89:AI89"/>
    <mergeCell ref="B88:AI88"/>
    <mergeCell ref="B85:N85"/>
    <mergeCell ref="O85:P85"/>
    <mergeCell ref="Q85:S85"/>
    <mergeCell ref="T85:AI85"/>
    <mergeCell ref="B86:N86"/>
    <mergeCell ref="O86:P86"/>
    <mergeCell ref="Q86:S86"/>
    <mergeCell ref="T86:AI86"/>
    <mergeCell ref="B82:N82"/>
    <mergeCell ref="O82:P82"/>
    <mergeCell ref="Q82:S82"/>
    <mergeCell ref="T82:AI82"/>
    <mergeCell ref="B83:N83"/>
    <mergeCell ref="O83:P83"/>
    <mergeCell ref="Q83:S83"/>
    <mergeCell ref="T83:AI83"/>
    <mergeCell ref="B84:N84"/>
    <mergeCell ref="O84:P84"/>
    <mergeCell ref="Q84:S84"/>
    <mergeCell ref="T84:AI84"/>
    <mergeCell ref="B79:N79"/>
    <mergeCell ref="O79:P79"/>
    <mergeCell ref="Q79:S79"/>
    <mergeCell ref="T79:AI79"/>
    <mergeCell ref="B81:N81"/>
    <mergeCell ref="O81:P81"/>
    <mergeCell ref="Q81:S81"/>
    <mergeCell ref="T81:AI81"/>
    <mergeCell ref="B80:AI80"/>
    <mergeCell ref="A76:AA76"/>
    <mergeCell ref="B78:N78"/>
    <mergeCell ref="O78:P78"/>
    <mergeCell ref="Q78:S78"/>
    <mergeCell ref="T78:AI78"/>
    <mergeCell ref="B77:AI77"/>
    <mergeCell ref="B73:AI73"/>
    <mergeCell ref="O74:P74"/>
    <mergeCell ref="Q74:S74"/>
    <mergeCell ref="T74:AI74"/>
    <mergeCell ref="O75:P75"/>
    <mergeCell ref="Q75:S75"/>
    <mergeCell ref="T75:AI75"/>
    <mergeCell ref="O70:P70"/>
    <mergeCell ref="Q70:S70"/>
    <mergeCell ref="T70:AI70"/>
    <mergeCell ref="O71:P71"/>
    <mergeCell ref="Q71:S71"/>
    <mergeCell ref="T71:AI71"/>
    <mergeCell ref="O72:P72"/>
    <mergeCell ref="Q72:S72"/>
    <mergeCell ref="T72:AI72"/>
    <mergeCell ref="O68:P68"/>
    <mergeCell ref="Q68:S68"/>
    <mergeCell ref="T68:AI68"/>
    <mergeCell ref="B62:AI62"/>
    <mergeCell ref="B66:AI66"/>
    <mergeCell ref="O63:P63"/>
    <mergeCell ref="Q63:S63"/>
    <mergeCell ref="T63:AI63"/>
    <mergeCell ref="O64:P64"/>
    <mergeCell ref="Q64:S64"/>
    <mergeCell ref="T64:AI64"/>
    <mergeCell ref="O56:P56"/>
    <mergeCell ref="Q56:S56"/>
    <mergeCell ref="B71:N71"/>
    <mergeCell ref="O59:P59"/>
    <mergeCell ref="Q59:S59"/>
    <mergeCell ref="T59:AI59"/>
    <mergeCell ref="B53:N53"/>
    <mergeCell ref="O53:P53"/>
    <mergeCell ref="T56:AI56"/>
    <mergeCell ref="O57:P57"/>
    <mergeCell ref="Q57:S57"/>
    <mergeCell ref="T57:AI57"/>
    <mergeCell ref="O60:P60"/>
    <mergeCell ref="Q60:S60"/>
    <mergeCell ref="T60:AI60"/>
    <mergeCell ref="O61:P61"/>
    <mergeCell ref="Q61:S61"/>
    <mergeCell ref="T61:AI61"/>
    <mergeCell ref="B58:AI58"/>
    <mergeCell ref="B69:AI69"/>
    <mergeCell ref="A65:AA65"/>
    <mergeCell ref="O67:P67"/>
    <mergeCell ref="Q67:S67"/>
    <mergeCell ref="T67:AI67"/>
    <mergeCell ref="B72:N72"/>
    <mergeCell ref="B74:N74"/>
    <mergeCell ref="B75:N75"/>
    <mergeCell ref="B67:N67"/>
    <mergeCell ref="B68:N68"/>
    <mergeCell ref="B70:N70"/>
    <mergeCell ref="B64:N64"/>
    <mergeCell ref="B56:N56"/>
    <mergeCell ref="B57:N57"/>
    <mergeCell ref="B60:N60"/>
    <mergeCell ref="B61:N61"/>
    <mergeCell ref="B63:N63"/>
    <mergeCell ref="B59:N59"/>
    <mergeCell ref="B47:AI47"/>
    <mergeCell ref="B51:AI51"/>
    <mergeCell ref="B55:AI55"/>
    <mergeCell ref="B48:N48"/>
    <mergeCell ref="O48:P48"/>
    <mergeCell ref="Q48:S48"/>
    <mergeCell ref="T48:AI48"/>
    <mergeCell ref="B49:N49"/>
    <mergeCell ref="O49:P49"/>
    <mergeCell ref="Q50:S50"/>
    <mergeCell ref="T50:AI50"/>
    <mergeCell ref="Q49:S49"/>
    <mergeCell ref="T49:AI49"/>
    <mergeCell ref="Q52:S52"/>
    <mergeCell ref="Q53:S53"/>
    <mergeCell ref="T53:AI53"/>
    <mergeCell ref="A54:AA54"/>
    <mergeCell ref="B52:N52"/>
    <mergeCell ref="O52:P52"/>
    <mergeCell ref="T52:AI52"/>
    <mergeCell ref="B50:N50"/>
    <mergeCell ref="O50:P50"/>
    <mergeCell ref="B46:N46"/>
    <mergeCell ref="O46:P46"/>
    <mergeCell ref="Q46:S46"/>
    <mergeCell ref="T46:AI46"/>
    <mergeCell ref="B45:N45"/>
    <mergeCell ref="O45:P45"/>
    <mergeCell ref="Q45:S45"/>
    <mergeCell ref="T45:AI45"/>
    <mergeCell ref="A43:AA43"/>
    <mergeCell ref="B41:N41"/>
    <mergeCell ref="O41:P41"/>
    <mergeCell ref="Q41:S41"/>
    <mergeCell ref="T41:AI41"/>
    <mergeCell ref="B42:N42"/>
    <mergeCell ref="O42:P42"/>
    <mergeCell ref="Q42:S42"/>
    <mergeCell ref="T42:AI42"/>
    <mergeCell ref="B40:AI40"/>
    <mergeCell ref="B39:N39"/>
    <mergeCell ref="O39:P39"/>
    <mergeCell ref="Q39:S39"/>
    <mergeCell ref="T39:AI39"/>
    <mergeCell ref="O38:P38"/>
    <mergeCell ref="Q38:S38"/>
    <mergeCell ref="B37:N37"/>
    <mergeCell ref="O37:P37"/>
    <mergeCell ref="Q37:S37"/>
    <mergeCell ref="T37:AI37"/>
    <mergeCell ref="B38:N38"/>
    <mergeCell ref="T38:AI38"/>
    <mergeCell ref="B35:N35"/>
    <mergeCell ref="O35:P35"/>
    <mergeCell ref="Q35:S35"/>
    <mergeCell ref="T35:AI35"/>
    <mergeCell ref="O34:P34"/>
    <mergeCell ref="Q34:S34"/>
    <mergeCell ref="B34:N34"/>
    <mergeCell ref="T34:AI34"/>
    <mergeCell ref="A32:AA32"/>
    <mergeCell ref="B31:N31"/>
    <mergeCell ref="O31:P31"/>
    <mergeCell ref="Q31:S31"/>
    <mergeCell ref="T31:AI31"/>
    <mergeCell ref="B30:N30"/>
    <mergeCell ref="O30:P30"/>
    <mergeCell ref="Q30:S30"/>
    <mergeCell ref="T30:AI30"/>
    <mergeCell ref="B28:N28"/>
    <mergeCell ref="T28:AI28"/>
    <mergeCell ref="B26:N26"/>
    <mergeCell ref="O26:P26"/>
    <mergeCell ref="Q26:S26"/>
    <mergeCell ref="T26:AI26"/>
    <mergeCell ref="B27:N27"/>
    <mergeCell ref="O27:P27"/>
    <mergeCell ref="Q27:S27"/>
    <mergeCell ref="T27:AI27"/>
    <mergeCell ref="O28:P28"/>
    <mergeCell ref="Q28:S28"/>
    <mergeCell ref="B24:N24"/>
    <mergeCell ref="O24:P24"/>
    <mergeCell ref="Q24:S24"/>
    <mergeCell ref="T24:AI24"/>
    <mergeCell ref="B23:N23"/>
    <mergeCell ref="O23:P23"/>
    <mergeCell ref="Q23:S23"/>
    <mergeCell ref="T23:AI23"/>
    <mergeCell ref="A21:AA21"/>
    <mergeCell ref="B20:N20"/>
    <mergeCell ref="O20:P20"/>
    <mergeCell ref="Q20:S20"/>
    <mergeCell ref="T20:AI20"/>
    <mergeCell ref="B19:N19"/>
    <mergeCell ref="O19:P19"/>
    <mergeCell ref="Q19:S19"/>
    <mergeCell ref="T19:AI19"/>
    <mergeCell ref="B17:N17"/>
    <mergeCell ref="O17:P17"/>
    <mergeCell ref="Q17:S17"/>
    <mergeCell ref="T17:AI17"/>
    <mergeCell ref="B15:N15"/>
    <mergeCell ref="O15:P15"/>
    <mergeCell ref="Q15:S15"/>
    <mergeCell ref="T15:AI15"/>
    <mergeCell ref="B16:N16"/>
    <mergeCell ref="O16:P16"/>
    <mergeCell ref="Q16:S16"/>
    <mergeCell ref="T16:AI16"/>
    <mergeCell ref="B13:N13"/>
    <mergeCell ref="O13:P13"/>
    <mergeCell ref="Q13:S13"/>
    <mergeCell ref="T13:AI13"/>
    <mergeCell ref="B12:N12"/>
    <mergeCell ref="O12:P12"/>
    <mergeCell ref="Q12:S12"/>
    <mergeCell ref="T12:AI12"/>
    <mergeCell ref="B7:N7"/>
    <mergeCell ref="O7:P7"/>
    <mergeCell ref="Q7:S7"/>
    <mergeCell ref="T7:AI7"/>
    <mergeCell ref="B8:N8"/>
    <mergeCell ref="O8:P8"/>
    <mergeCell ref="Q8:S8"/>
    <mergeCell ref="T8:AI8"/>
    <mergeCell ref="A10:AA10"/>
    <mergeCell ref="A4:A6"/>
    <mergeCell ref="B4:N6"/>
    <mergeCell ref="O4:P6"/>
    <mergeCell ref="Q4:S6"/>
    <mergeCell ref="T4:AI6"/>
    <mergeCell ref="B9:N9"/>
    <mergeCell ref="O9:P9"/>
    <mergeCell ref="Q9:S9"/>
    <mergeCell ref="T9:AI9"/>
  </mergeCells>
  <pageMargins left="0.511811024" right="0.511811024" top="0.78740157499999996" bottom="0.78740157499999996" header="0.31496062000000002" footer="0.31496062000000002"/>
  <pageSetup paperSize="9" scale="8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R44"/>
  <sheetViews>
    <sheetView workbookViewId="0">
      <selection activeCell="E16" sqref="E16"/>
    </sheetView>
  </sheetViews>
  <sheetFormatPr defaultRowHeight="12.75"/>
  <cols>
    <col min="1" max="1" width="7.140625" style="209" customWidth="1"/>
    <col min="2" max="2" width="33" style="210" customWidth="1"/>
    <col min="3" max="3" width="15.7109375" style="211" customWidth="1"/>
    <col min="4" max="4" width="9.7109375" style="210" customWidth="1"/>
    <col min="5" max="5" width="15.7109375" style="210" customWidth="1"/>
    <col min="6" max="6" width="9.7109375" style="210" customWidth="1"/>
    <col min="7" max="7" width="15.7109375" style="210" customWidth="1"/>
    <col min="8" max="8" width="9.7109375" style="210" customWidth="1"/>
    <col min="9" max="9" width="15.7109375" style="210" customWidth="1"/>
    <col min="10" max="10" width="9.7109375" style="210" customWidth="1"/>
    <col min="11" max="11" width="15.7109375" style="210" customWidth="1"/>
    <col min="12" max="12" width="9.7109375" style="210" customWidth="1"/>
    <col min="13" max="13" width="15.7109375" style="165" hidden="1" customWidth="1"/>
    <col min="14" max="14" width="8.85546875" style="163" hidden="1" customWidth="1"/>
    <col min="15" max="15" width="11.85546875" style="163" customWidth="1"/>
  </cols>
  <sheetData>
    <row r="1" spans="1:18" ht="15" customHeight="1">
      <c r="A1" s="364" t="s">
        <v>233</v>
      </c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162"/>
      <c r="N1" s="162"/>
    </row>
    <row r="2" spans="1:18" ht="15" customHeight="1">
      <c r="A2" s="366"/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162"/>
    </row>
    <row r="3" spans="1:18" ht="15" customHeight="1" thickBot="1">
      <c r="A3" s="368"/>
      <c r="B3" s="369"/>
      <c r="C3" s="369"/>
      <c r="D3" s="369"/>
      <c r="E3" s="369"/>
      <c r="F3" s="369"/>
      <c r="G3" s="369"/>
      <c r="H3" s="369"/>
      <c r="I3" s="369"/>
      <c r="J3" s="369"/>
      <c r="K3" s="369"/>
      <c r="L3" s="369"/>
      <c r="M3" s="164"/>
    </row>
    <row r="4" spans="1:18" ht="15" customHeight="1">
      <c r="A4" s="370" t="s">
        <v>21</v>
      </c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164"/>
    </row>
    <row r="5" spans="1:18" ht="15" customHeight="1" thickBot="1">
      <c r="A5" s="370"/>
      <c r="B5" s="371"/>
      <c r="C5" s="371"/>
      <c r="D5" s="371"/>
      <c r="E5" s="371"/>
      <c r="F5" s="371"/>
      <c r="G5" s="371"/>
      <c r="H5" s="371"/>
      <c r="I5" s="371"/>
      <c r="J5" s="371"/>
      <c r="K5" s="371"/>
      <c r="L5" s="371"/>
    </row>
    <row r="6" spans="1:18" ht="15" customHeight="1">
      <c r="A6" s="372" t="s">
        <v>234</v>
      </c>
      <c r="B6" s="373"/>
      <c r="C6" s="373"/>
      <c r="D6" s="373"/>
      <c r="E6" s="373"/>
      <c r="F6" s="373"/>
      <c r="G6" s="374"/>
      <c r="H6" s="378" t="s">
        <v>42</v>
      </c>
      <c r="I6" s="379"/>
      <c r="J6" s="379"/>
      <c r="K6" s="379"/>
      <c r="L6" s="379"/>
    </row>
    <row r="7" spans="1:18" ht="15" customHeight="1">
      <c r="A7" s="375"/>
      <c r="B7" s="376"/>
      <c r="C7" s="376"/>
      <c r="D7" s="376"/>
      <c r="E7" s="376"/>
      <c r="F7" s="376"/>
      <c r="G7" s="377"/>
      <c r="H7" s="380" t="s">
        <v>235</v>
      </c>
      <c r="I7" s="381"/>
      <c r="J7" s="381"/>
      <c r="K7" s="381"/>
      <c r="L7" s="381"/>
    </row>
    <row r="8" spans="1:18" ht="15" customHeight="1" thickBot="1">
      <c r="A8" s="382" t="s">
        <v>236</v>
      </c>
      <c r="B8" s="383"/>
      <c r="C8" s="383"/>
      <c r="D8" s="383"/>
      <c r="E8" s="383"/>
      <c r="F8" s="383"/>
      <c r="G8" s="384"/>
      <c r="H8" s="385" t="s">
        <v>237</v>
      </c>
      <c r="I8" s="386"/>
      <c r="J8" s="386"/>
      <c r="K8" s="386"/>
      <c r="L8" s="386"/>
    </row>
    <row r="9" spans="1:18" ht="15" customHeight="1" thickBot="1">
      <c r="A9" s="257" t="s">
        <v>233</v>
      </c>
      <c r="B9" s="258"/>
      <c r="C9" s="258"/>
      <c r="D9" s="258"/>
      <c r="E9" s="258"/>
      <c r="F9" s="258"/>
      <c r="G9" s="258"/>
      <c r="H9" s="258"/>
      <c r="I9" s="258"/>
      <c r="J9" s="258"/>
      <c r="K9" s="258"/>
      <c r="L9" s="258"/>
    </row>
    <row r="10" spans="1:18" ht="15" customHeight="1">
      <c r="A10" s="358" t="s">
        <v>121</v>
      </c>
      <c r="B10" s="166" t="s">
        <v>238</v>
      </c>
      <c r="C10" s="360" t="s">
        <v>239</v>
      </c>
      <c r="D10" s="361"/>
      <c r="E10" s="362">
        <v>1</v>
      </c>
      <c r="F10" s="363"/>
      <c r="G10" s="362">
        <f>E10+1</f>
        <v>2</v>
      </c>
      <c r="H10" s="363"/>
      <c r="I10" s="362">
        <f t="shared" ref="I10" si="0">G10+1</f>
        <v>3</v>
      </c>
      <c r="J10" s="363"/>
      <c r="K10" s="362">
        <f t="shared" ref="K10" si="1">I10+1</f>
        <v>4</v>
      </c>
      <c r="L10" s="363"/>
      <c r="M10" s="167"/>
      <c r="N10" s="162"/>
      <c r="O10" s="162"/>
      <c r="P10" s="49"/>
      <c r="Q10" s="49"/>
      <c r="R10" s="49"/>
    </row>
    <row r="11" spans="1:18" ht="15" customHeight="1" thickBot="1">
      <c r="A11" s="359"/>
      <c r="B11" s="168" t="s">
        <v>240</v>
      </c>
      <c r="C11" s="169" t="s">
        <v>241</v>
      </c>
      <c r="D11" s="170" t="s">
        <v>242</v>
      </c>
      <c r="E11" s="169" t="s">
        <v>241</v>
      </c>
      <c r="F11" s="170" t="s">
        <v>242</v>
      </c>
      <c r="G11" s="169" t="s">
        <v>241</v>
      </c>
      <c r="H11" s="170" t="s">
        <v>242</v>
      </c>
      <c r="I11" s="169" t="s">
        <v>241</v>
      </c>
      <c r="J11" s="170" t="s">
        <v>242</v>
      </c>
      <c r="K11" s="169" t="s">
        <v>241</v>
      </c>
      <c r="L11" s="170" t="s">
        <v>242</v>
      </c>
      <c r="N11" s="165"/>
      <c r="O11" s="165"/>
      <c r="P11" s="171"/>
    </row>
    <row r="12" spans="1:18" ht="15" customHeight="1">
      <c r="A12" s="172">
        <v>1</v>
      </c>
      <c r="B12" s="173" t="s">
        <v>50</v>
      </c>
      <c r="C12" s="174">
        <v>1098.26</v>
      </c>
      <c r="D12" s="175">
        <f t="shared" ref="D12:D16" si="2">IFERROR(C12/$C$28,"")</f>
        <v>1.0057326007326007E-3</v>
      </c>
      <c r="E12" s="174">
        <f>(C12*F12)</f>
        <v>1098.26</v>
      </c>
      <c r="F12" s="176">
        <v>1</v>
      </c>
      <c r="G12" s="174"/>
      <c r="H12" s="176">
        <f t="shared" ref="H12:H26" si="3">IFERROR(G12/C12,"")</f>
        <v>0</v>
      </c>
      <c r="I12" s="174"/>
      <c r="J12" s="176">
        <f t="shared" ref="J12:J25" si="4">IFERROR(I12/C12,"")</f>
        <v>0</v>
      </c>
      <c r="K12" s="174"/>
      <c r="L12" s="177">
        <f t="shared" ref="L12:L26" si="5">IFERROR(K12/C12,"")</f>
        <v>0</v>
      </c>
      <c r="N12" s="165"/>
      <c r="O12" s="165"/>
      <c r="P12" s="171"/>
    </row>
    <row r="13" spans="1:18" ht="15" customHeight="1">
      <c r="A13" s="178">
        <v>2</v>
      </c>
      <c r="B13" s="179" t="s">
        <v>51</v>
      </c>
      <c r="C13" s="180">
        <v>632501.30000000005</v>
      </c>
      <c r="D13" s="181">
        <f t="shared" si="2"/>
        <v>0.57921364468864478</v>
      </c>
      <c r="E13" s="180">
        <f>(C13*F13)</f>
        <v>189750.39</v>
      </c>
      <c r="F13" s="182">
        <v>0.3</v>
      </c>
      <c r="G13" s="180">
        <f>(C13*H13)</f>
        <v>126500.26000000001</v>
      </c>
      <c r="H13" s="182">
        <v>0.2</v>
      </c>
      <c r="I13" s="180">
        <f>(C13*J13)</f>
        <v>158125.32500000001</v>
      </c>
      <c r="J13" s="182">
        <v>0.25</v>
      </c>
      <c r="K13" s="180">
        <f>(C13*L13)</f>
        <v>158125.32500000001</v>
      </c>
      <c r="L13" s="183">
        <v>0.25</v>
      </c>
      <c r="M13" s="351" t="s">
        <v>243</v>
      </c>
      <c r="N13" s="351"/>
      <c r="O13" s="165"/>
      <c r="P13" s="171"/>
    </row>
    <row r="14" spans="1:18" ht="15" customHeight="1">
      <c r="A14" s="178">
        <v>3</v>
      </c>
      <c r="B14" s="179" t="s">
        <v>244</v>
      </c>
      <c r="C14" s="180">
        <v>201656.85</v>
      </c>
      <c r="D14" s="181">
        <f t="shared" si="2"/>
        <v>0.18466744505494506</v>
      </c>
      <c r="E14" s="180">
        <f t="shared" ref="E14:E16" si="6">(C14*F14)</f>
        <v>60497.055</v>
      </c>
      <c r="F14" s="182">
        <v>0.3</v>
      </c>
      <c r="G14" s="180">
        <f t="shared" ref="G14:G16" si="7">(C14*H14)</f>
        <v>40331.370000000003</v>
      </c>
      <c r="H14" s="182">
        <v>0.2</v>
      </c>
      <c r="I14" s="180">
        <f t="shared" ref="I14:I16" si="8">(C14*J14)</f>
        <v>50414.212500000001</v>
      </c>
      <c r="J14" s="182">
        <v>0.25</v>
      </c>
      <c r="K14" s="180">
        <f t="shared" ref="K14:K16" si="9">(C14*L14)</f>
        <v>50414.212500000001</v>
      </c>
      <c r="L14" s="183">
        <v>0.25</v>
      </c>
      <c r="M14" s="184">
        <v>1</v>
      </c>
      <c r="N14" s="164" t="s">
        <v>245</v>
      </c>
      <c r="O14" s="165"/>
      <c r="P14" s="171"/>
    </row>
    <row r="15" spans="1:18" ht="15" customHeight="1">
      <c r="A15" s="178">
        <v>4</v>
      </c>
      <c r="B15" s="179" t="s">
        <v>246</v>
      </c>
      <c r="C15" s="180">
        <v>237465.32</v>
      </c>
      <c r="D15" s="181">
        <f t="shared" si="2"/>
        <v>0.21745908424908425</v>
      </c>
      <c r="E15" s="180">
        <f t="shared" si="6"/>
        <v>71239.596000000005</v>
      </c>
      <c r="F15" s="182">
        <v>0.3</v>
      </c>
      <c r="G15" s="180">
        <f t="shared" si="7"/>
        <v>47493.064000000006</v>
      </c>
      <c r="H15" s="182">
        <v>0.2</v>
      </c>
      <c r="I15" s="180">
        <f t="shared" si="8"/>
        <v>59366.33</v>
      </c>
      <c r="J15" s="182">
        <v>0.25</v>
      </c>
      <c r="K15" s="180">
        <f t="shared" si="9"/>
        <v>59366.33</v>
      </c>
      <c r="L15" s="183">
        <v>0.25</v>
      </c>
      <c r="M15" s="185" t="e">
        <f>E12+G12+I12+K12+#REF!+#REF!</f>
        <v>#REF!</v>
      </c>
      <c r="N15" s="186" t="e">
        <f>F12+H12+J12+L12+#REF!+#REF!</f>
        <v>#REF!</v>
      </c>
      <c r="O15" s="165"/>
      <c r="P15" s="171"/>
    </row>
    <row r="16" spans="1:18" ht="15" customHeight="1">
      <c r="A16" s="178">
        <v>5</v>
      </c>
      <c r="B16" s="179" t="s">
        <v>94</v>
      </c>
      <c r="C16" s="180">
        <v>19278.27</v>
      </c>
      <c r="D16" s="181">
        <f t="shared" si="2"/>
        <v>1.7654093406593407E-2</v>
      </c>
      <c r="E16" s="180">
        <f t="shared" si="6"/>
        <v>5783.4809999999998</v>
      </c>
      <c r="F16" s="182">
        <v>0.3</v>
      </c>
      <c r="G16" s="180">
        <f t="shared" si="7"/>
        <v>3855.6540000000005</v>
      </c>
      <c r="H16" s="182">
        <v>0.2</v>
      </c>
      <c r="I16" s="180">
        <f t="shared" si="8"/>
        <v>4819.5675000000001</v>
      </c>
      <c r="J16" s="182">
        <v>0.25</v>
      </c>
      <c r="K16" s="180">
        <f t="shared" si="9"/>
        <v>4819.5675000000001</v>
      </c>
      <c r="L16" s="183">
        <v>0.25</v>
      </c>
      <c r="M16" s="185" t="e">
        <f>E13+G13+I13+K13+#REF!+#REF!</f>
        <v>#REF!</v>
      </c>
      <c r="N16" s="186" t="e">
        <f>F13+H13+J13+L13+#REF!+#REF!</f>
        <v>#REF!</v>
      </c>
      <c r="O16" s="165"/>
      <c r="P16" s="171"/>
    </row>
    <row r="17" spans="1:14">
      <c r="A17" s="178">
        <v>6</v>
      </c>
      <c r="B17" s="187"/>
      <c r="C17" s="180"/>
      <c r="D17" s="181"/>
      <c r="E17" s="180"/>
      <c r="F17" s="182" t="str">
        <f t="shared" ref="F17:F26" si="10">IFERROR(E17/C17,"")</f>
        <v/>
      </c>
      <c r="G17" s="180"/>
      <c r="H17" s="182" t="str">
        <f t="shared" si="3"/>
        <v/>
      </c>
      <c r="I17" s="180"/>
      <c r="J17" s="182" t="str">
        <f t="shared" si="4"/>
        <v/>
      </c>
      <c r="K17" s="180"/>
      <c r="L17" s="183" t="str">
        <f t="shared" si="5"/>
        <v/>
      </c>
      <c r="M17" s="185" t="e">
        <f>E14+G14+I14+K14+#REF!+#REF!</f>
        <v>#REF!</v>
      </c>
      <c r="N17" s="188" t="e">
        <f>F14+H14+J14+L14+#REF!+#REF!</f>
        <v>#REF!</v>
      </c>
    </row>
    <row r="18" spans="1:14">
      <c r="A18" s="178">
        <v>7</v>
      </c>
      <c r="B18" s="187"/>
      <c r="C18" s="180"/>
      <c r="D18" s="181"/>
      <c r="E18" s="180"/>
      <c r="F18" s="182" t="str">
        <f t="shared" si="10"/>
        <v/>
      </c>
      <c r="G18" s="180"/>
      <c r="H18" s="182" t="str">
        <f t="shared" si="3"/>
        <v/>
      </c>
      <c r="I18" s="180"/>
      <c r="J18" s="182" t="str">
        <f t="shared" si="4"/>
        <v/>
      </c>
      <c r="K18" s="180"/>
      <c r="L18" s="183" t="str">
        <f t="shared" si="5"/>
        <v/>
      </c>
      <c r="M18" s="185" t="e">
        <f>E15+G15+I15+K15+#REF!+#REF!</f>
        <v>#REF!</v>
      </c>
      <c r="N18" s="188" t="e">
        <f>F15+H15+J15+L15+#REF!+#REF!</f>
        <v>#REF!</v>
      </c>
    </row>
    <row r="19" spans="1:14">
      <c r="A19" s="178">
        <v>8</v>
      </c>
      <c r="B19" s="187"/>
      <c r="C19" s="180"/>
      <c r="D19" s="181"/>
      <c r="E19" s="180"/>
      <c r="F19" s="182" t="str">
        <f t="shared" si="10"/>
        <v/>
      </c>
      <c r="G19" s="180"/>
      <c r="H19" s="182" t="str">
        <f t="shared" si="3"/>
        <v/>
      </c>
      <c r="I19" s="180"/>
      <c r="J19" s="182" t="str">
        <f t="shared" si="4"/>
        <v/>
      </c>
      <c r="K19" s="180"/>
      <c r="L19" s="183" t="str">
        <f t="shared" si="5"/>
        <v/>
      </c>
      <c r="M19" s="185" t="e">
        <f>E16+G16+I16+K16+#REF!+#REF!</f>
        <v>#REF!</v>
      </c>
      <c r="N19" s="188" t="e">
        <f>F16+H16+J16+L16+#REF!+#REF!</f>
        <v>#REF!</v>
      </c>
    </row>
    <row r="20" spans="1:14">
      <c r="A20" s="178">
        <v>9</v>
      </c>
      <c r="B20" s="187"/>
      <c r="C20" s="180"/>
      <c r="D20" s="181"/>
      <c r="E20" s="180"/>
      <c r="F20" s="182" t="str">
        <f t="shared" si="10"/>
        <v/>
      </c>
      <c r="G20" s="180"/>
      <c r="H20" s="182" t="str">
        <f t="shared" si="3"/>
        <v/>
      </c>
      <c r="I20" s="180"/>
      <c r="J20" s="182" t="str">
        <f t="shared" si="4"/>
        <v/>
      </c>
      <c r="K20" s="180"/>
      <c r="L20" s="183" t="str">
        <f t="shared" si="5"/>
        <v/>
      </c>
      <c r="M20" s="185" t="e">
        <f>E17+G17+I17+K17+#REF!+#REF!</f>
        <v>#REF!</v>
      </c>
      <c r="N20" s="188" t="e">
        <f>F17+H17+J17+L17+#REF!+#REF!</f>
        <v>#VALUE!</v>
      </c>
    </row>
    <row r="21" spans="1:14">
      <c r="A21" s="178">
        <v>10</v>
      </c>
      <c r="B21" s="187"/>
      <c r="C21" s="180"/>
      <c r="D21" s="181"/>
      <c r="E21" s="180"/>
      <c r="F21" s="182" t="str">
        <f t="shared" si="10"/>
        <v/>
      </c>
      <c r="G21" s="180"/>
      <c r="H21" s="182" t="str">
        <f t="shared" si="3"/>
        <v/>
      </c>
      <c r="I21" s="180"/>
      <c r="J21" s="182" t="str">
        <f t="shared" si="4"/>
        <v/>
      </c>
      <c r="K21" s="180"/>
      <c r="L21" s="183" t="str">
        <f t="shared" si="5"/>
        <v/>
      </c>
      <c r="M21" s="185" t="e">
        <f>E18+G18+I18+K18+#REF!+#REF!</f>
        <v>#REF!</v>
      </c>
      <c r="N21" s="188" t="e">
        <f>F18+H18+J18+L18+#REF!+#REF!</f>
        <v>#VALUE!</v>
      </c>
    </row>
    <row r="22" spans="1:14">
      <c r="A22" s="178">
        <v>11</v>
      </c>
      <c r="B22" s="187"/>
      <c r="C22" s="180"/>
      <c r="D22" s="181"/>
      <c r="E22" s="180"/>
      <c r="F22" s="182" t="str">
        <f t="shared" si="10"/>
        <v/>
      </c>
      <c r="G22" s="180"/>
      <c r="H22" s="182" t="str">
        <f t="shared" si="3"/>
        <v/>
      </c>
      <c r="I22" s="180"/>
      <c r="J22" s="182" t="str">
        <f t="shared" si="4"/>
        <v/>
      </c>
      <c r="K22" s="180"/>
      <c r="L22" s="183" t="str">
        <f t="shared" si="5"/>
        <v/>
      </c>
      <c r="M22" s="185" t="e">
        <f>E19+G19+I19+K19+#REF!+#REF!</f>
        <v>#REF!</v>
      </c>
      <c r="N22" s="188" t="e">
        <f>F19+H19+J19+L19+#REF!+#REF!</f>
        <v>#VALUE!</v>
      </c>
    </row>
    <row r="23" spans="1:14">
      <c r="A23" s="178">
        <v>12</v>
      </c>
      <c r="B23" s="187"/>
      <c r="C23" s="180"/>
      <c r="D23" s="181"/>
      <c r="E23" s="180"/>
      <c r="F23" s="182" t="str">
        <f t="shared" si="10"/>
        <v/>
      </c>
      <c r="G23" s="180"/>
      <c r="H23" s="182" t="str">
        <f t="shared" si="3"/>
        <v/>
      </c>
      <c r="I23" s="180"/>
      <c r="J23" s="182" t="str">
        <f t="shared" si="4"/>
        <v/>
      </c>
      <c r="K23" s="180"/>
      <c r="L23" s="183" t="str">
        <f t="shared" si="5"/>
        <v/>
      </c>
      <c r="M23" s="185" t="e">
        <f>E20+G20+I20+K20+#REF!+#REF!</f>
        <v>#REF!</v>
      </c>
      <c r="N23" s="188" t="e">
        <f>F20+H20+J20+L20+#REF!+#REF!</f>
        <v>#VALUE!</v>
      </c>
    </row>
    <row r="24" spans="1:14">
      <c r="A24" s="178">
        <v>13</v>
      </c>
      <c r="B24" s="187"/>
      <c r="C24" s="180"/>
      <c r="D24" s="181"/>
      <c r="E24" s="180"/>
      <c r="F24" s="182" t="str">
        <f t="shared" si="10"/>
        <v/>
      </c>
      <c r="G24" s="180"/>
      <c r="H24" s="182" t="str">
        <f t="shared" si="3"/>
        <v/>
      </c>
      <c r="I24" s="180"/>
      <c r="J24" s="182" t="str">
        <f t="shared" si="4"/>
        <v/>
      </c>
      <c r="K24" s="180"/>
      <c r="L24" s="183" t="str">
        <f t="shared" si="5"/>
        <v/>
      </c>
      <c r="M24" s="185" t="e">
        <f>E21+G21+I21+K21+#REF!+#REF!</f>
        <v>#REF!</v>
      </c>
      <c r="N24" s="188" t="e">
        <f>F21+H21+J21+L21+#REF!+#REF!</f>
        <v>#VALUE!</v>
      </c>
    </row>
    <row r="25" spans="1:14">
      <c r="A25" s="178">
        <v>14</v>
      </c>
      <c r="B25" s="187"/>
      <c r="C25" s="180"/>
      <c r="D25" s="181"/>
      <c r="E25" s="180"/>
      <c r="F25" s="182" t="str">
        <f t="shared" si="10"/>
        <v/>
      </c>
      <c r="G25" s="180"/>
      <c r="H25" s="182" t="str">
        <f t="shared" si="3"/>
        <v/>
      </c>
      <c r="I25" s="180"/>
      <c r="J25" s="182" t="str">
        <f t="shared" si="4"/>
        <v/>
      </c>
      <c r="K25" s="180"/>
      <c r="L25" s="183" t="str">
        <f t="shared" si="5"/>
        <v/>
      </c>
      <c r="M25" s="185" t="e">
        <f>E22+G22+I22+K22+#REF!+#REF!</f>
        <v>#REF!</v>
      </c>
      <c r="N25" s="188" t="e">
        <f>F22+H22+J22+L22+#REF!+#REF!</f>
        <v>#VALUE!</v>
      </c>
    </row>
    <row r="26" spans="1:14" ht="13.5" thickBot="1">
      <c r="A26" s="189">
        <v>15</v>
      </c>
      <c r="B26" s="190"/>
      <c r="C26" s="191"/>
      <c r="D26" s="192"/>
      <c r="E26" s="191"/>
      <c r="F26" s="193" t="str">
        <f t="shared" si="10"/>
        <v/>
      </c>
      <c r="G26" s="191"/>
      <c r="H26" s="193" t="str">
        <f t="shared" si="3"/>
        <v/>
      </c>
      <c r="I26" s="191"/>
      <c r="J26" s="193" t="str">
        <f>IFERROR(I26/C26,"")</f>
        <v/>
      </c>
      <c r="K26" s="191"/>
      <c r="L26" s="194" t="str">
        <f t="shared" si="5"/>
        <v/>
      </c>
      <c r="M26" s="185" t="e">
        <f>E23+G23+I23+K23+#REF!+#REF!</f>
        <v>#REF!</v>
      </c>
      <c r="N26" s="188" t="e">
        <f>F23+H23+J23+L23+#REF!+#REF!</f>
        <v>#VALUE!</v>
      </c>
    </row>
    <row r="27" spans="1:14" ht="13.5" thickBot="1">
      <c r="A27" s="195"/>
      <c r="B27" s="196"/>
      <c r="C27" s="197"/>
      <c r="D27" s="198"/>
      <c r="E27" s="197"/>
      <c r="F27" s="199"/>
      <c r="G27" s="197"/>
      <c r="H27" s="199"/>
      <c r="I27" s="197"/>
      <c r="J27" s="199"/>
      <c r="K27" s="197"/>
      <c r="L27" s="199"/>
      <c r="M27" s="185" t="e">
        <f>E24+G24+I24+K24+#REF!+#REF!</f>
        <v>#REF!</v>
      </c>
      <c r="N27" s="188" t="e">
        <f>F24+H24+J24+L24+#REF!+#REF!</f>
        <v>#VALUE!</v>
      </c>
    </row>
    <row r="28" spans="1:14" ht="13.5" thickBot="1">
      <c r="A28" s="352" t="s">
        <v>247</v>
      </c>
      <c r="B28" s="353"/>
      <c r="C28" s="200">
        <f>SUM(C12:C26)</f>
        <v>1092000</v>
      </c>
      <c r="D28" s="201">
        <f>SUM(D12:D26)</f>
        <v>1</v>
      </c>
      <c r="E28" s="202">
        <f>SUM(E12:E26)</f>
        <v>328368.78200000001</v>
      </c>
      <c r="F28" s="203">
        <f>IFERROR(E28/$C$28,0)</f>
        <v>0.30070401282051284</v>
      </c>
      <c r="G28" s="204">
        <f>SUM(G12:G26)</f>
        <v>218180.34800000003</v>
      </c>
      <c r="H28" s="203">
        <f>IFERROR(G28/$C$28,0)</f>
        <v>0.19979885347985352</v>
      </c>
      <c r="I28" s="204">
        <f>SUM(I12:I26)</f>
        <v>272725.435</v>
      </c>
      <c r="J28" s="203">
        <f>IFERROR(I28/$C$28,0)</f>
        <v>0.24974856684981686</v>
      </c>
      <c r="K28" s="204">
        <f>SUM(K12:K26)</f>
        <v>272725.435</v>
      </c>
      <c r="L28" s="203">
        <f>IFERROR(K28/$C$28,0)</f>
        <v>0.24974856684981686</v>
      </c>
      <c r="M28" s="185" t="e">
        <f>E25+G25+I25+K25+#REF!+#REF!</f>
        <v>#REF!</v>
      </c>
      <c r="N28" s="188" t="e">
        <f>F25+H25+J25+L25+#REF!+#REF!</f>
        <v>#VALUE!</v>
      </c>
    </row>
    <row r="29" spans="1:14" ht="13.5" thickBot="1">
      <c r="A29" s="354" t="s">
        <v>248</v>
      </c>
      <c r="B29" s="355"/>
      <c r="C29" s="205">
        <f>LARGE(E29:L29,1)</f>
        <v>1092000</v>
      </c>
      <c r="D29" s="201">
        <f>IFERROR(C29/C28,0)</f>
        <v>1</v>
      </c>
      <c r="E29" s="206">
        <f>E28</f>
        <v>328368.78200000001</v>
      </c>
      <c r="F29" s="207">
        <f>F28</f>
        <v>0.30070401282051284</v>
      </c>
      <c r="G29" s="205">
        <f>E29+G28</f>
        <v>546549.13</v>
      </c>
      <c r="H29" s="207">
        <f>F29+H28</f>
        <v>0.50050286630036633</v>
      </c>
      <c r="I29" s="205">
        <f>G29+I28</f>
        <v>819274.56499999994</v>
      </c>
      <c r="J29" s="207">
        <f>H29+J28</f>
        <v>0.75025143315018317</v>
      </c>
      <c r="K29" s="205">
        <f>I29+K28</f>
        <v>1092000</v>
      </c>
      <c r="L29" s="208">
        <f t="shared" ref="L29" si="11">J29+L28</f>
        <v>1</v>
      </c>
      <c r="M29" s="185" t="e">
        <f>E26+G26+I26+K26+#REF!+#REF!</f>
        <v>#REF!</v>
      </c>
      <c r="N29" s="188" t="e">
        <f>F26+H26+J26+L26+#REF!+#REF!</f>
        <v>#VALUE!</v>
      </c>
    </row>
    <row r="30" spans="1:14" ht="13.5" thickBot="1">
      <c r="M30" s="185"/>
      <c r="N30" s="188"/>
    </row>
    <row r="31" spans="1:14" ht="13.5" thickBot="1">
      <c r="A31" s="356" t="s">
        <v>249</v>
      </c>
      <c r="B31" s="356"/>
      <c r="C31" s="356"/>
      <c r="D31" s="356"/>
      <c r="E31" s="356"/>
      <c r="F31" s="356"/>
      <c r="G31" s="356"/>
      <c r="H31" s="356"/>
      <c r="I31" s="356"/>
      <c r="J31" s="356"/>
      <c r="K31" s="356"/>
      <c r="L31" s="356"/>
      <c r="M31" s="212" t="e">
        <f>SUM(M15:M25)</f>
        <v>#REF!</v>
      </c>
      <c r="N31" s="213" t="e">
        <f>F28+H28+J28+L28+#REF!+#REF!</f>
        <v>#REF!</v>
      </c>
    </row>
    <row r="32" spans="1:14">
      <c r="C32" s="210"/>
      <c r="D32" s="357" t="s">
        <v>250</v>
      </c>
      <c r="E32" s="357"/>
      <c r="F32" s="357"/>
      <c r="G32" s="357"/>
      <c r="H32" s="357"/>
      <c r="I32" s="357"/>
      <c r="J32" s="357"/>
      <c r="K32" s="357"/>
      <c r="M32" s="214"/>
      <c r="N32" s="214"/>
    </row>
    <row r="33" spans="1:11">
      <c r="A33" s="210"/>
      <c r="C33" s="210"/>
      <c r="D33" s="357"/>
      <c r="E33" s="357"/>
      <c r="F33" s="357"/>
      <c r="G33" s="357"/>
      <c r="H33" s="357"/>
      <c r="I33" s="357"/>
      <c r="J33" s="357"/>
      <c r="K33" s="357"/>
    </row>
    <row r="34" spans="1:11">
      <c r="A34" s="210"/>
      <c r="C34" s="210"/>
      <c r="D34" s="357"/>
      <c r="E34" s="357"/>
      <c r="F34" s="357"/>
      <c r="G34" s="357"/>
      <c r="H34" s="357"/>
      <c r="I34" s="357"/>
      <c r="J34" s="357"/>
      <c r="K34" s="357"/>
    </row>
    <row r="35" spans="1:11">
      <c r="A35" s="210"/>
      <c r="C35" s="210"/>
      <c r="D35" s="357"/>
      <c r="E35" s="357"/>
      <c r="F35" s="357"/>
      <c r="G35" s="357"/>
      <c r="H35" s="357"/>
      <c r="I35" s="357"/>
      <c r="J35" s="357"/>
      <c r="K35" s="357"/>
    </row>
    <row r="36" spans="1:11">
      <c r="A36" s="210" t="s">
        <v>251</v>
      </c>
    </row>
    <row r="37" spans="1:11">
      <c r="A37" s="210" t="s">
        <v>252</v>
      </c>
    </row>
    <row r="38" spans="1:11">
      <c r="A38" s="211" t="s">
        <v>253</v>
      </c>
    </row>
    <row r="39" spans="1:11">
      <c r="A39" s="211" t="s">
        <v>254</v>
      </c>
    </row>
    <row r="43" spans="1:11">
      <c r="A43" s="215"/>
    </row>
    <row r="44" spans="1:11">
      <c r="B44" s="209"/>
      <c r="C44" s="209"/>
      <c r="D44" s="209"/>
      <c r="E44" s="209"/>
    </row>
  </sheetData>
  <mergeCells count="19">
    <mergeCell ref="A8:G8"/>
    <mergeCell ref="H8:L8"/>
    <mergeCell ref="A1:L3"/>
    <mergeCell ref="A4:L5"/>
    <mergeCell ref="A6:G7"/>
    <mergeCell ref="H6:L6"/>
    <mergeCell ref="H7:L7"/>
    <mergeCell ref="A9:L9"/>
    <mergeCell ref="A10:A11"/>
    <mergeCell ref="C10:D10"/>
    <mergeCell ref="E10:F10"/>
    <mergeCell ref="G10:H10"/>
    <mergeCell ref="I10:J10"/>
    <mergeCell ref="K10:L10"/>
    <mergeCell ref="M13:N13"/>
    <mergeCell ref="A28:B28"/>
    <mergeCell ref="A29:B29"/>
    <mergeCell ref="A31:L31"/>
    <mergeCell ref="D32:K35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Planilha1</vt:lpstr>
      <vt:lpstr>Planilha Orçamentária BDMG</vt:lpstr>
      <vt:lpstr>MEMORIAL DE CÁLCULO</vt:lpstr>
      <vt:lpstr>FISICO FINANCEIRO</vt:lpstr>
      <vt:lpstr>'MEMORIAL DE CÁLCULO'!Area_de_impressao</vt:lpstr>
      <vt:lpstr>'Planilha Orçamentária BDMG'!Area_de_impressao</vt:lpstr>
      <vt:lpstr>Planilha1!Area_de_impressao</vt:lpstr>
      <vt:lpstr>'Planilha Orçamentária BDMG'!Titulos_de_impressao</vt:lpstr>
    </vt:vector>
  </TitlesOfParts>
  <Company>BDMG S.A.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Deiwid Breno Goncalves da Silva</dc:creator>
  <cp:lastModifiedBy>User</cp:lastModifiedBy>
  <cp:lastPrinted>2020-03-11T12:26:38Z</cp:lastPrinted>
  <dcterms:created xsi:type="dcterms:W3CDTF">2002-03-27T12:24:52Z</dcterms:created>
  <dcterms:modified xsi:type="dcterms:W3CDTF">2020-03-20T12:35:59Z</dcterms:modified>
</cp:coreProperties>
</file>